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OOw1kctTizMFhEuXe6IR9EatBHrOPS6HK2LmCGGnICW2LrFb//LsKr4khC6G0rI/S5lqV2bCeJUsrdqe6cpLuQ==" workbookSaltValue="ySyWMuQWO1GcCzt4wal/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20"/>
  <c r="BG12" i="8"/>
  <c r="T13" i="16"/>
  <c r="AP13" i="16"/>
  <c r="BF15" i="13"/>
  <c r="BA18" i="13"/>
  <c r="AO20" i="20"/>
  <c r="H20" i="20"/>
  <c r="E20" i="20"/>
  <c r="K20" i="20"/>
  <c r="N20" i="20"/>
  <c r="U12" i="11"/>
  <c r="L20" i="20"/>
  <c r="U16" i="11"/>
  <c r="AI20" i="20"/>
  <c r="AF20" i="20"/>
  <c r="AX20" i="20"/>
  <c r="AZ20" i="20"/>
  <c r="AG20" i="20"/>
  <c r="AC20" i="20"/>
  <c r="Q20" i="20"/>
  <c r="U10" i="11"/>
  <c r="Z20" i="20"/>
  <c r="AA20" i="20"/>
  <c r="M20" i="20"/>
  <c r="F20" i="20"/>
  <c r="O20" i="20"/>
  <c r="AU20" i="20"/>
  <c r="W20" i="21"/>
  <c r="X20" i="20"/>
  <c r="AH20" i="20"/>
  <c r="G18" i="14"/>
  <c r="AN20" i="20"/>
  <c r="AM20" i="20"/>
  <c r="I20" i="20"/>
  <c r="P20" i="20"/>
  <c r="AQ20" i="20"/>
  <c r="W20" i="20"/>
  <c r="AK20" i="20"/>
  <c r="AQ20" i="21"/>
  <c r="F17" i="17" l="1"/>
  <c r="AQ17" i="17" s="1"/>
  <c r="AM19" i="8"/>
  <c r="AC19" i="8"/>
  <c r="AK19" i="8"/>
  <c r="AA19" i="8"/>
  <c r="AI19" i="8"/>
  <c r="C12" i="14"/>
  <c r="K12" i="14" s="1"/>
  <c r="R19" i="8"/>
  <c r="T19" i="8"/>
  <c r="BG10" i="8"/>
  <c r="K10" i="7" s="1"/>
  <c r="M13" i="2"/>
  <c r="H9" i="7"/>
  <c r="BG9" i="8"/>
  <c r="BE9" i="8"/>
  <c r="BE12" i="8"/>
  <c r="R8" i="9"/>
  <c r="AY13" i="13"/>
  <c r="F17" i="16"/>
  <c r="BL17" i="16" s="1"/>
  <c r="BG16" i="13"/>
  <c r="BD16" i="13"/>
  <c r="BE15" i="13"/>
  <c r="BE16" i="13"/>
  <c r="E12" i="6"/>
  <c r="BU9" i="17"/>
  <c r="BV16" i="16"/>
  <c r="AP17" i="20"/>
  <c r="BG9" i="11"/>
  <c r="V9" i="11"/>
  <c r="X9" i="17"/>
  <c r="BK12"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X12" i="21"/>
  <c r="T9" i="11"/>
  <c r="BF11" i="11"/>
  <c r="BH11" i="16"/>
  <c r="BH17" i="16"/>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G10" i="11"/>
  <c r="BM16"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K10" i="12"/>
  <c r="I15" i="12"/>
  <c r="J12" i="12"/>
  <c r="K9" i="12"/>
  <c r="BL17" i="11"/>
  <c r="P17" i="17"/>
  <c r="BM12" i="11"/>
  <c r="BH17" i="11"/>
  <c r="BH18" i="11" s="1"/>
  <c r="BV15" i="16"/>
  <c r="BV9" i="16"/>
  <c r="BV13" i="16" s="1"/>
  <c r="T16" i="11"/>
  <c r="BL15" i="11"/>
  <c r="Q15" i="11" s="1"/>
  <c r="BK16" i="11"/>
  <c r="BM9" i="11"/>
  <c r="BK9" i="11"/>
  <c r="R10" i="21"/>
  <c r="BW9" i="20"/>
  <c r="BU17" i="17"/>
  <c r="AA15" i="16"/>
  <c r="P15" i="17"/>
  <c r="P18" i="17" s="1"/>
  <c r="P19" i="17" s="1"/>
  <c r="R11" i="14"/>
  <c r="BG16" i="11"/>
  <c r="P16" i="11" s="1"/>
  <c r="BK10" i="11"/>
  <c r="L15" i="2"/>
  <c r="AA9" i="16"/>
  <c r="V9" i="16"/>
  <c r="X15" i="16"/>
  <c r="X18" i="16"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AZ10" i="11"/>
  <c r="AT18" i="11"/>
  <c r="M13" i="11"/>
  <c r="L13" i="11"/>
  <c r="L19" i="11" s="1"/>
  <c r="AP16" i="11"/>
  <c r="Z18" i="11"/>
  <c r="AB13"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T18" i="16"/>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G19" i="21"/>
  <c r="R13" i="21"/>
  <c r="R19" i="21"/>
  <c r="BL18" i="11"/>
  <c r="BK19" i="11"/>
  <c r="BK13" i="1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<sst xmlns="http://schemas.openxmlformats.org/spreadsheetml/2006/main" count="2094" uniqueCount="913">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</sst>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bUwl2QPBbCyZGR1ul53zGxp5JIZp4XDUK8xGKdkuAuTpR7CEs22bRhK1N1Yojm6Sxh+mKngHxrHBi9SoHthng==" saltValue="qcY4I5EB80dOqEIvRYM4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28.260162601626018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112</v>
      </c>
      <c r="D16" s="228">
        <f>IF(ISNUMBER(IF(D_I="SI",Datos!I16,Datos!I16+Datos!AC16)),IF(D_I="SI",Datos!I16,Datos!I16+Datos!AC16)," - ")</f>
        <v>112</v>
      </c>
      <c r="E16" s="229">
        <f>IF(ISNUMBER(IF(D_I="SI",Datos!J16,Datos!J16+Datos!AD16)),IF(D_I="SI",Datos!J16,Datos!J16+Datos!AD16)," - ")</f>
        <v>153</v>
      </c>
      <c r="F16" s="229">
        <f>IF(ISNUMBER(IF(D_I="SI",Datos!K16,Datos!K16+Datos!AE16)),IF(D_I="SI",Datos!K16,Datos!K16+Datos!AE16)," - ")</f>
        <v>159</v>
      </c>
      <c r="G16" s="1037" t="str">
        <f>IF(Datos!E16&lt;&gt;"",Datos!E16,Datos!D16)</f>
        <v>04</v>
      </c>
      <c r="H16" s="230">
        <f>IF(ISNUMBER(IF(D_I="SI",Datos!L16,Datos!L16+Datos!AF16)),IF(D_I="SI",Datos!L16,Datos!L16+Datos!AF16)," - ")</f>
        <v>106</v>
      </c>
      <c r="I16" s="1047" t="str">
        <f>IF(ISNUMBER(Datos!AS16/Datos!BM16),Datos!AS16/Datos!BM16," - ")</f>
        <v xml:space="preserve"> - </v>
      </c>
      <c r="J16" s="1048">
        <f>IF(ISNUMBER(Datos!BY16/Datos!CN16),Datos!BY16/Datos!CN16," - ")</f>
        <v>0</v>
      </c>
      <c r="K16" s="233">
        <f t="shared" si="3"/>
        <v>-5.3571428571428568E-2</v>
      </c>
      <c r="L16" s="1028">
        <f>IF(ISNUMBER(NºAsuntos!I16/NºAsuntos!G16),(NºAsuntos!I16/NºAsuntos!G16)*11," - ")</f>
        <v>7.333333333333333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v>
      </c>
      <c r="D17" s="228">
        <f>IF(ISNUMBER(IF(D_I="SI",Datos!I17,Datos!I17+Datos!AC17)),IF(D_I="SI",Datos!I17,Datos!I17+Datos!AC17)," - ")</f>
        <v>26</v>
      </c>
      <c r="E17" s="229">
        <f>IF(ISNUMBER(IF(D_I="SI",Datos!J17,Datos!J17+Datos!AD17)),IF(D_I="SI",Datos!J17,Datos!J17+Datos!AD17)," - ")</f>
        <v>4</v>
      </c>
      <c r="F17" s="229">
        <f>IF(ISNUMBER(IF(D_I="SI",Datos!K17,Datos!K17+Datos!AE17)),IF(D_I="SI",Datos!K17,Datos!K17+Datos!AE17)," - ")</f>
        <v>4</v>
      </c>
      <c r="G17" s="1037" t="str">
        <f>IF(Datos!E17&lt;&gt;"",Datos!E17,Datos!D17)</f>
        <v>37</v>
      </c>
      <c r="H17" s="230">
        <f>IF(ISNUMBER(IF(D_I="SI",Datos!L17,Datos!L17+Datos!AF17)),IF(D_I="SI",Datos!L17,Datos!L17+Datos!AF17)," - ")</f>
        <v>26</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71.5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138</v>
      </c>
      <c r="D18" s="1052">
        <f>SUBTOTAL(9,D15:D17)</f>
        <v>138</v>
      </c>
      <c r="E18" s="1053">
        <f>SUBTOTAL(9,E15:E17)</f>
        <v>157</v>
      </c>
      <c r="F18" s="1053">
        <f>SUBTOTAL(9,F15:F17)</f>
        <v>163</v>
      </c>
      <c r="G18" s="1055" t="str">
        <f ca="1">INDIRECT(CONCATENATE("G",ROW()-1))</f>
        <v>37</v>
      </c>
      <c r="H18" s="1056">
        <f ca="1">SUMIF(G$14:G17,G18,H$14:H17)</f>
        <v>26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138</v>
      </c>
      <c r="D19" s="1074">
        <f>SUBTOTAL(9,D9:D18)</f>
        <v>138</v>
      </c>
      <c r="E19" s="1075">
        <f>SUBTOTAL(9,E9:E18)</f>
        <v>157</v>
      </c>
      <c r="F19" s="1075">
        <f>SUBTOTAL(9,F9:F18)</f>
        <v>163</v>
      </c>
      <c r="G19" s="1076"/>
      <c r="H19" s="1077">
        <f ca="1">SUMIF(B9:B18,"TOTAL",H9:H18)</f>
        <v>26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zFGeRyGVJd/m1dXV9HGFRTYVDRYb5lPatKMRdPIe8EqKGsIEHbL88ZBgvJgbR2mLg6/QMmU+JGStwdZKVEHTA==" saltValue="SGpImId2mnuH17ePd9FSt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LUSBMqm1lpHP6tLgAzkFoaf33V5JD1ecwd6XphNQgDNUGQalH/WRY3+vbeNBOD12YpzfSxXkDLYKFBiFdF2Vw==" saltValue="4gYVg/WZyyG1YPGFk8iW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332</v>
      </c>
      <c r="J12" s="186">
        <v>102</v>
      </c>
      <c r="K12" s="186">
        <v>121</v>
      </c>
      <c r="L12" s="186">
        <v>313</v>
      </c>
      <c r="M12" s="186">
        <v>29</v>
      </c>
      <c r="N12" s="186">
        <v>29</v>
      </c>
      <c r="O12" s="184">
        <v>13</v>
      </c>
      <c r="P12" s="186">
        <v>20</v>
      </c>
      <c r="Q12" s="186">
        <v>8</v>
      </c>
      <c r="R12" s="186">
        <v>562</v>
      </c>
      <c r="S12" s="186">
        <v>219</v>
      </c>
      <c r="T12" s="186">
        <v>63</v>
      </c>
      <c r="U12" s="186">
        <v>31</v>
      </c>
      <c r="V12" s="186">
        <v>251</v>
      </c>
      <c r="W12" s="186">
        <v>14</v>
      </c>
      <c r="X12" s="192">
        <v>10</v>
      </c>
      <c r="Y12" s="194">
        <v>5</v>
      </c>
      <c r="Z12" s="184">
        <v>0</v>
      </c>
      <c r="AA12" s="184">
        <v>2</v>
      </c>
      <c r="AB12" s="184">
        <v>3</v>
      </c>
      <c r="AC12" s="186">
        <v>0</v>
      </c>
      <c r="AD12" s="186">
        <v>0</v>
      </c>
      <c r="AE12" s="186">
        <v>0</v>
      </c>
      <c r="AF12" s="192">
        <v>0</v>
      </c>
      <c r="AG12" s="205">
        <v>6</v>
      </c>
      <c r="AH12" s="186">
        <v>2</v>
      </c>
      <c r="AI12" s="186">
        <v>2</v>
      </c>
      <c r="AJ12" s="206">
        <v>6</v>
      </c>
      <c r="AK12" s="185">
        <v>0</v>
      </c>
      <c r="AL12" s="186">
        <v>0</v>
      </c>
      <c r="AM12" s="186">
        <v>0</v>
      </c>
      <c r="AN12" s="192">
        <v>0</v>
      </c>
      <c r="AO12" s="262">
        <v>1</v>
      </c>
      <c r="AP12" s="158">
        <v>1</v>
      </c>
      <c r="AQ12" s="158">
        <v>1</v>
      </c>
      <c r="AR12" s="157">
        <v>1</v>
      </c>
      <c r="AS12" s="343" t="s">
        <v>807</v>
      </c>
      <c r="AT12" s="206"/>
      <c r="AU12" s="205"/>
      <c r="AV12" s="206"/>
      <c r="AW12" s="205"/>
      <c r="AX12" s="206"/>
      <c r="AY12" s="126">
        <f t="shared" si="1"/>
        <v>225</v>
      </c>
      <c r="AZ12" s="127">
        <f t="shared" si="1"/>
        <v>65</v>
      </c>
      <c r="BA12" s="127">
        <f t="shared" si="1"/>
        <v>33</v>
      </c>
      <c r="BB12" s="127">
        <f t="shared" si="1"/>
        <v>257</v>
      </c>
      <c r="BC12" s="125">
        <f>IF(ISNUMBER(X12),X12," - ")</f>
        <v>10</v>
      </c>
      <c r="BD12" s="126">
        <f t="shared" si="2"/>
        <v>0.50769230769230766</v>
      </c>
      <c r="BE12" s="127">
        <f t="shared" si="3"/>
        <v>7.7878787878787881</v>
      </c>
      <c r="BF12" s="127">
        <f t="shared" si="4"/>
        <v>0.30303030303030304</v>
      </c>
      <c r="BG12" s="199">
        <f t="shared" si="5"/>
        <v>8.7878787878787872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332</v>
      </c>
      <c r="J13" s="187">
        <f t="shared" si="6"/>
        <v>102</v>
      </c>
      <c r="K13" s="187">
        <f t="shared" si="6"/>
        <v>121</v>
      </c>
      <c r="L13" s="187">
        <f t="shared" si="6"/>
        <v>313</v>
      </c>
      <c r="M13" s="187">
        <f t="shared" si="6"/>
        <v>29</v>
      </c>
      <c r="N13" s="187">
        <f t="shared" si="6"/>
        <v>29</v>
      </c>
      <c r="O13" s="187">
        <f t="shared" si="6"/>
        <v>13</v>
      </c>
      <c r="P13" s="187">
        <f t="shared" si="6"/>
        <v>20</v>
      </c>
      <c r="Q13" s="187">
        <f t="shared" si="6"/>
        <v>8</v>
      </c>
      <c r="R13" s="187">
        <f t="shared" si="6"/>
        <v>562</v>
      </c>
      <c r="S13" s="187">
        <f t="shared" si="6"/>
        <v>219</v>
      </c>
      <c r="T13" s="187">
        <f t="shared" si="6"/>
        <v>63</v>
      </c>
      <c r="U13" s="187">
        <f t="shared" si="6"/>
        <v>31</v>
      </c>
      <c r="V13" s="187">
        <f t="shared" si="6"/>
        <v>251</v>
      </c>
      <c r="W13" s="187">
        <f t="shared" si="6"/>
        <v>14</v>
      </c>
      <c r="X13" s="187">
        <f t="shared" si="6"/>
        <v>10</v>
      </c>
      <c r="Y13" s="187">
        <f t="shared" si="6"/>
        <v>5</v>
      </c>
      <c r="Z13" s="187">
        <f t="shared" si="6"/>
        <v>0</v>
      </c>
      <c r="AA13" s="187">
        <f t="shared" si="6"/>
        <v>2</v>
      </c>
      <c r="AB13" s="187">
        <f t="shared" si="6"/>
        <v>3</v>
      </c>
      <c r="AC13" s="187">
        <f t="shared" si="6"/>
        <v>0</v>
      </c>
      <c r="AD13" s="187">
        <f t="shared" si="6"/>
        <v>0</v>
      </c>
      <c r="AE13" s="187">
        <f t="shared" si="6"/>
        <v>0</v>
      </c>
      <c r="AF13" s="187">
        <f>SUBTOTAL(9,AF9:AF12)</f>
        <v>0</v>
      </c>
      <c r="AG13" s="187">
        <f t="shared" ref="AG13:AT13" si="7">SUBTOTAL(9,AG8:AG12)</f>
        <v>6</v>
      </c>
      <c r="AH13" s="187">
        <f t="shared" si="7"/>
        <v>2</v>
      </c>
      <c r="AI13" s="187">
        <f t="shared" si="7"/>
        <v>2</v>
      </c>
      <c r="AJ13" s="187">
        <f t="shared" si="7"/>
        <v>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225</v>
      </c>
      <c r="AZ13" s="187">
        <f>SUBTOTAL(9,AZ8:AZ12)</f>
        <v>65</v>
      </c>
      <c r="BA13" s="187">
        <f>SUBTOTAL(9,BA8:BA12)</f>
        <v>33</v>
      </c>
      <c r="BB13" s="187">
        <f>SUBTOTAL(9,BB8:BB12)</f>
        <v>257</v>
      </c>
      <c r="BC13" s="187">
        <f>SUBTOTAL(9,BC8:BC12)</f>
        <v>10</v>
      </c>
      <c r="BD13" s="208">
        <f>IF(ISNUMBER(BA13/AZ13),BA13/AZ13," - ")</f>
        <v>0.50769230769230766</v>
      </c>
      <c r="BE13" s="209">
        <f>IF(ISNUMBER(BB13/BA13),BB13/BA13, " - ")</f>
        <v>7.7878787878787881</v>
      </c>
      <c r="BF13" s="209">
        <f>IF(ISNUMBER(BC13/BA13),BC13/BA13, " - ")</f>
        <v>0.30303030303030304</v>
      </c>
      <c r="BG13" s="210">
        <f>IF(ISNUMBER((AY13+AZ13)/BA13),(AY13+AZ13)/BA13," - ")</f>
        <v>8.7878787878787872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112</v>
      </c>
      <c r="J16" s="186">
        <v>153</v>
      </c>
      <c r="K16" s="186">
        <v>159</v>
      </c>
      <c r="L16" s="186">
        <v>106</v>
      </c>
      <c r="M16" s="186">
        <v>9</v>
      </c>
      <c r="N16" s="186">
        <v>122</v>
      </c>
      <c r="O16" s="184">
        <v>0</v>
      </c>
      <c r="P16" s="186">
        <v>0</v>
      </c>
      <c r="Q16" s="186">
        <v>3</v>
      </c>
      <c r="R16" s="186">
        <v>7</v>
      </c>
      <c r="S16" s="186">
        <v>64</v>
      </c>
      <c r="T16" s="186">
        <v>101</v>
      </c>
      <c r="U16" s="186">
        <v>85</v>
      </c>
      <c r="V16" s="186">
        <v>80</v>
      </c>
      <c r="W16" s="186">
        <v>12</v>
      </c>
      <c r="X16" s="192">
        <v>64</v>
      </c>
      <c r="Y16" s="205">
        <v>0</v>
      </c>
      <c r="Z16" s="186">
        <v>0</v>
      </c>
      <c r="AA16" s="186">
        <v>0</v>
      </c>
      <c r="AB16" s="186">
        <v>0</v>
      </c>
      <c r="AC16" s="186">
        <v>0</v>
      </c>
      <c r="AD16" s="186">
        <v>0</v>
      </c>
      <c r="AE16" s="186">
        <v>0</v>
      </c>
      <c r="AF16" s="192">
        <v>0</v>
      </c>
      <c r="AG16" s="205">
        <v>0</v>
      </c>
      <c r="AH16" s="186">
        <v>0</v>
      </c>
      <c r="AI16" s="186">
        <v>0</v>
      </c>
      <c r="AJ16" s="206">
        <v>0</v>
      </c>
      <c r="AK16" s="185">
        <v>1</v>
      </c>
      <c r="AL16" s="186">
        <v>0</v>
      </c>
      <c r="AM16" s="186">
        <v>0</v>
      </c>
      <c r="AN16" s="192">
        <v>1</v>
      </c>
      <c r="AO16" s="262">
        <v>1</v>
      </c>
      <c r="AP16" s="158">
        <v>1</v>
      </c>
      <c r="AQ16" s="158">
        <v>1</v>
      </c>
      <c r="AR16" s="158">
        <v>1</v>
      </c>
      <c r="AS16" s="343" t="s">
        <v>491</v>
      </c>
      <c r="AT16" s="206"/>
      <c r="AU16" s="205"/>
      <c r="AV16" s="206"/>
      <c r="AW16" s="205"/>
      <c r="AX16" s="206"/>
      <c r="AY16" s="126">
        <f t="shared" si="9"/>
        <v>64</v>
      </c>
      <c r="AZ16" s="127">
        <f t="shared" si="9"/>
        <v>101</v>
      </c>
      <c r="BA16" s="127">
        <f t="shared" si="9"/>
        <v>85</v>
      </c>
      <c r="BB16" s="127">
        <f t="shared" si="9"/>
        <v>80</v>
      </c>
      <c r="BC16" s="125">
        <f>IF(ISNUMBER(W16),W16," - ")</f>
        <v>12</v>
      </c>
      <c r="BD16" s="126">
        <f t="shared" ref="BD16" si="11">IF(ISNUMBER(BA16/AZ16),BA16/AZ16," - ")</f>
        <v>0.84158415841584155</v>
      </c>
      <c r="BE16" s="127">
        <f t="shared" ref="BE16" si="12">IF(ISNUMBER(BB16/BA16),BB16/BA16, " - ")</f>
        <v>0.94117647058823528</v>
      </c>
      <c r="BF16" s="127">
        <f t="shared" ref="BF16" si="13">IF(ISNUMBER(BC16/BA16),BC16/BA16, " - ")</f>
        <v>0.14117647058823529</v>
      </c>
      <c r="BG16" s="199">
        <f t="shared" si="10"/>
        <v>1.9411764705882353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26</v>
      </c>
      <c r="J17" s="186">
        <v>4</v>
      </c>
      <c r="K17" s="186">
        <v>4</v>
      </c>
      <c r="L17" s="186">
        <v>26</v>
      </c>
      <c r="M17" s="186">
        <v>0</v>
      </c>
      <c r="N17" s="186">
        <v>1</v>
      </c>
      <c r="O17" s="186">
        <v>0</v>
      </c>
      <c r="P17" s="186">
        <v>0</v>
      </c>
      <c r="Q17" s="186">
        <v>0</v>
      </c>
      <c r="R17" s="186">
        <v>0</v>
      </c>
      <c r="S17" s="186">
        <v>21</v>
      </c>
      <c r="T17" s="186">
        <v>4</v>
      </c>
      <c r="U17" s="186">
        <v>2</v>
      </c>
      <c r="V17" s="186">
        <v>23</v>
      </c>
      <c r="W17" s="186">
        <v>0</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4</v>
      </c>
      <c r="BA17" s="129">
        <f t="shared" si="14"/>
        <v>2</v>
      </c>
      <c r="BB17" s="129">
        <f t="shared" si="14"/>
        <v>23</v>
      </c>
      <c r="BC17" s="125">
        <f>IF(ISNUMBER(W17),W17," - ")</f>
        <v>0</v>
      </c>
      <c r="BD17" s="126">
        <f>IF(ISNUMBER(BA17/AZ17),BA17/AZ17," - ")</f>
        <v>0.5</v>
      </c>
      <c r="BE17" s="127">
        <f>IF(ISNUMBER(BB17/BA17),BB17/BA17, " - ")</f>
        <v>11.5</v>
      </c>
      <c r="BF17" s="127">
        <f>IF(ISNUMBER(BC17/BA17),BC17/BA17, " - ")</f>
        <v>0</v>
      </c>
      <c r="BG17" s="199">
        <f>IF(ISNUMBER((AY17+AZ17)/BA17),(AY17+AZ17)/BA17," - ")</f>
        <v>12.5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138</v>
      </c>
      <c r="J18" s="187">
        <f t="shared" si="15"/>
        <v>157</v>
      </c>
      <c r="K18" s="187">
        <f t="shared" si="15"/>
        <v>163</v>
      </c>
      <c r="L18" s="187">
        <f t="shared" si="15"/>
        <v>132</v>
      </c>
      <c r="M18" s="187">
        <f t="shared" si="15"/>
        <v>9</v>
      </c>
      <c r="N18" s="187">
        <f t="shared" si="15"/>
        <v>123</v>
      </c>
      <c r="O18" s="187">
        <f t="shared" si="15"/>
        <v>0</v>
      </c>
      <c r="P18" s="187">
        <f t="shared" si="15"/>
        <v>0</v>
      </c>
      <c r="Q18" s="187">
        <f t="shared" si="15"/>
        <v>3</v>
      </c>
      <c r="R18" s="187">
        <f t="shared" si="15"/>
        <v>7</v>
      </c>
      <c r="S18" s="187">
        <f t="shared" si="15"/>
        <v>85</v>
      </c>
      <c r="T18" s="187">
        <f t="shared" si="15"/>
        <v>105</v>
      </c>
      <c r="U18" s="187">
        <f t="shared" si="15"/>
        <v>87</v>
      </c>
      <c r="V18" s="187">
        <f t="shared" si="15"/>
        <v>103</v>
      </c>
      <c r="W18" s="187">
        <f t="shared" si="15"/>
        <v>12</v>
      </c>
      <c r="X18" s="187">
        <f t="shared" si="15"/>
        <v>67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0</v>
      </c>
      <c r="AM18" s="187">
        <f t="shared" si="15"/>
        <v>0</v>
      </c>
      <c r="AN18" s="187">
        <f t="shared" si="15"/>
        <v>1</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85</v>
      </c>
      <c r="AZ18" s="187">
        <f>SUBTOTAL(9,AZ14:AZ17)</f>
        <v>105</v>
      </c>
      <c r="BA18" s="187">
        <f>SUBTOTAL(9,BA14:BA17)</f>
        <v>87</v>
      </c>
      <c r="BB18" s="187">
        <f>SUBTOTAL(9,BB14:BB17)</f>
        <v>103</v>
      </c>
      <c r="BC18" s="187">
        <f>SUBTOTAL(9,BC14:BC17)</f>
        <v>12</v>
      </c>
      <c r="BD18" s="208">
        <f>IF(ISNUMBER(BA18/AZ18),BA18/AZ18," - ")</f>
        <v>0.82857142857142863</v>
      </c>
      <c r="BE18" s="209">
        <f>IF(ISNUMBER(BB18/BA18),BB18/BA18, " - ")</f>
        <v>1.1839080459770115</v>
      </c>
      <c r="BF18" s="209">
        <f>IF(ISNUMBER(BC18/BA18),BC18/BA18, " - ")</f>
        <v>0.13793103448275862</v>
      </c>
      <c r="BG18" s="210">
        <f>IF(ISNUMBER((AY18+AZ18)/BA18),(AY18+AZ18)/BA18," - ")</f>
        <v>2.1839080459770117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470</v>
      </c>
      <c r="J19" s="134">
        <f t="shared" si="18"/>
        <v>259</v>
      </c>
      <c r="K19" s="134">
        <f t="shared" si="18"/>
        <v>284</v>
      </c>
      <c r="L19" s="134">
        <f t="shared" si="18"/>
        <v>445</v>
      </c>
      <c r="M19" s="134">
        <f t="shared" si="18"/>
        <v>38</v>
      </c>
      <c r="N19" s="134">
        <f t="shared" si="18"/>
        <v>152</v>
      </c>
      <c r="O19" s="134">
        <f t="shared" si="18"/>
        <v>13</v>
      </c>
      <c r="P19" s="134">
        <f t="shared" si="18"/>
        <v>20</v>
      </c>
      <c r="Q19" s="134">
        <f t="shared" si="18"/>
        <v>11</v>
      </c>
      <c r="R19" s="134">
        <f t="shared" si="18"/>
        <v>569</v>
      </c>
      <c r="S19" s="134">
        <f t="shared" si="18"/>
        <v>304</v>
      </c>
      <c r="T19" s="134">
        <f t="shared" si="18"/>
        <v>168</v>
      </c>
      <c r="U19" s="134">
        <f t="shared" si="18"/>
        <v>118</v>
      </c>
      <c r="V19" s="134">
        <f t="shared" si="18"/>
        <v>354</v>
      </c>
      <c r="W19" s="134">
        <f t="shared" si="18"/>
        <v>26</v>
      </c>
      <c r="X19" s="134">
        <f t="shared" si="18"/>
        <v>77</v>
      </c>
      <c r="Y19" s="134">
        <f t="shared" si="18"/>
        <v>5</v>
      </c>
      <c r="Z19" s="134">
        <f t="shared" si="18"/>
        <v>0</v>
      </c>
      <c r="AA19" s="134">
        <f t="shared" si="18"/>
        <v>2</v>
      </c>
      <c r="AB19" s="134">
        <f t="shared" si="18"/>
        <v>3</v>
      </c>
      <c r="AC19" s="134">
        <f t="shared" si="18"/>
        <v>0</v>
      </c>
      <c r="AD19" s="134">
        <f t="shared" si="18"/>
        <v>0</v>
      </c>
      <c r="AE19" s="134">
        <f t="shared" si="18"/>
        <v>0</v>
      </c>
      <c r="AF19" s="134">
        <f t="shared" si="18"/>
        <v>0</v>
      </c>
      <c r="AG19" s="134">
        <f t="shared" si="18"/>
        <v>6</v>
      </c>
      <c r="AH19" s="134">
        <f t="shared" si="18"/>
        <v>2</v>
      </c>
      <c r="AI19" s="134">
        <f t="shared" si="18"/>
        <v>2</v>
      </c>
      <c r="AJ19" s="134">
        <f t="shared" si="18"/>
        <v>6</v>
      </c>
      <c r="AK19" s="134">
        <f t="shared" si="18"/>
        <v>1</v>
      </c>
      <c r="AL19" s="134">
        <f t="shared" si="18"/>
        <v>0</v>
      </c>
      <c r="AM19" s="134">
        <f t="shared" si="18"/>
        <v>0</v>
      </c>
      <c r="AN19" s="213">
        <f t="shared" si="18"/>
        <v>1</v>
      </c>
      <c r="AO19" s="214">
        <v>2</v>
      </c>
      <c r="AP19" s="214">
        <v>1</v>
      </c>
      <c r="AQ19" s="214">
        <v>1</v>
      </c>
      <c r="AR19" s="214">
        <v>1</v>
      </c>
      <c r="AS19" s="156">
        <f t="shared" si="18"/>
        <v>0</v>
      </c>
      <c r="AT19" s="156">
        <f t="shared" si="18"/>
        <v>0</v>
      </c>
      <c r="AU19" s="214"/>
      <c r="AV19" s="215"/>
      <c r="AW19" s="214"/>
      <c r="AX19" s="215"/>
      <c r="AY19" s="133">
        <f>SUBTOTAL(9,AY9:AY18)</f>
        <v>310</v>
      </c>
      <c r="AZ19" s="134">
        <f>SUBTOTAL(9,AZ9:AZ18)</f>
        <v>170</v>
      </c>
      <c r="BA19" s="134">
        <f>SUBTOTAL(9,BA9:BA18)</f>
        <v>120</v>
      </c>
      <c r="BB19" s="134">
        <f>SUBTOTAL(9,BB9:BB18)</f>
        <v>360</v>
      </c>
      <c r="BC19" s="135">
        <f>SUBTOTAL(9,BC9:BC18)</f>
        <v>22</v>
      </c>
      <c r="BD19" s="216">
        <f>IF(ISNUMBER(BA19/AZ19),BA19/AZ19," - ")</f>
        <v>0.70588235294117652</v>
      </c>
      <c r="BE19" s="213">
        <f>IF(ISNUMBER(BB19/BA19),BB19/BA19, " - ")</f>
        <v>3</v>
      </c>
      <c r="BF19" s="213">
        <f>IF(ISNUMBER(BC19/BA19),BC19/BA19, " - ")</f>
        <v>0.18333333333333332</v>
      </c>
      <c r="BG19" s="135">
        <f>IF(ISNUMBER((AY19+AZ19)/BA19),(AY19+AZ19)/BA19," - ")</f>
        <v>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OvUjsyDNE6b3RYJKFbVCk8qCSodQTK24pdzb4SdcrJaMud4wVEU7RFx3xEI+Be/zfKeuOlMEDDkr6pbQ/cD6Q==" saltValue="FD1phtIH+Vct7qjYaih2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wKAsrrO8nbNElqGlvqqR5g+rbfYfjbncQI/ylYxQp0u+4uvqiy1RWRF2KNKLP1vumNIjyJR1uzoPMiDlMDHgw==" saltValue="YJK74BcZO2pwzpiXain2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HUESCA  Resumenes por Partidos Judiciales  BOLTAÑA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20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v>
      </c>
      <c r="AI12" s="337" t="str">
        <f>IF(ISNUMBER(Datos!CD12),Datos!CD12,"-")</f>
        <v>-</v>
      </c>
      <c r="AJ12" s="337" t="str">
        <f>IF(ISNUMBER(Datos!EN12),Datos!EN12," - ")</f>
        <v xml:space="preserve"> - </v>
      </c>
      <c r="AK12" s="337"/>
      <c r="AL12" s="482"/>
      <c r="AM12" s="338">
        <f>IF(ISNUMBER(Datos!R12),Datos!R12," - ")</f>
        <v>562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v>
      </c>
      <c r="BD12" s="232">
        <f>IF(ISNUMBER(Datos!N12),Datos!N12," - ")</f>
        <v>29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1.2058823529411764</v>
      </c>
      <c r="BH12" s="263">
        <f>IF(ISNUMBER(((IF(J_V="SI",Datos!L12/Datos!K12,(Datos!L12+Datos!AB12)/(Datos!K12+Datos!AA12)))*11)/factor_trimestre),((IF(J_V="SI",Datos!L12/Datos!K12,(Datos!L12+Datos!AB12)/(Datos!K12+Datos!AA12)))*11)/factor_trimestre," - ")</f>
        <v>7.7073170731707323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2.181818181818182E-2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0</v>
      </c>
      <c r="O13" s="903">
        <f t="shared" si="0"/>
        <v>0</v>
      </c>
      <c r="P13" s="903">
        <f t="shared" si="0"/>
        <v>0</v>
      </c>
      <c r="Q13" s="902">
        <f t="shared" si="0"/>
        <v>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8</v>
      </c>
      <c r="AD13" s="902">
        <f t="shared" si="1"/>
        <v>0</v>
      </c>
      <c r="AE13" s="902">
        <f t="shared" si="1"/>
        <v>0</v>
      </c>
      <c r="AF13" s="902">
        <f t="shared" si="1"/>
        <v>0</v>
      </c>
      <c r="AG13" s="902">
        <f t="shared" si="1"/>
        <v>0</v>
      </c>
      <c r="AH13" s="902">
        <f t="shared" si="1"/>
        <v>3</v>
      </c>
      <c r="AI13" s="902">
        <f t="shared" si="1"/>
        <v>0</v>
      </c>
      <c r="AJ13" s="902">
        <f t="shared" si="1"/>
        <v>0</v>
      </c>
      <c r="AK13" s="902">
        <f t="shared" si="1"/>
        <v>0</v>
      </c>
      <c r="AL13" s="902">
        <f t="shared" si="1"/>
        <v>0</v>
      </c>
      <c r="AM13" s="902">
        <f t="shared" si="1"/>
        <v>562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v>
      </c>
      <c r="BD13" s="902">
        <f t="shared" si="1"/>
        <v>29</v>
      </c>
      <c r="BE13" s="902">
        <f t="shared" si="1"/>
        <v>0</v>
      </c>
      <c r="BF13" s="902">
        <f t="shared" si="1"/>
        <v>0</v>
      </c>
      <c r="BG13" s="902">
        <f>IF(ISNUMBER(Datos!K13/Datos!J13),Datos!K13/Datos!J13," - ")</f>
        <v>1.1862745098039216</v>
      </c>
      <c r="BH13" s="906">
        <f>IF(ISNUMBER(((Datos!L13/Datos!K13)*11)/factor_trimestre),((Datos!L13/Datos!K13)*11)/factor_trimestre," - ")</f>
        <v>7.7603305785123968</v>
      </c>
      <c r="BI13" s="902">
        <f>IF(ISNUMBER('Resol  Asuntos'!D13/NºAsuntos!G13),'Resol  Asuntos'!D13/NºAsuntos!G13," - ")</f>
        <v>0.23577235772357724</v>
      </c>
      <c r="BJ13" s="902" t="str">
        <f>IF(ISNUMBER(Datos!CI13/Datos!CJ13),Datos!CI13/Datos!CJ13," - ")</f>
        <v xml:space="preserve"> - </v>
      </c>
      <c r="BK13" s="902">
        <f>SUBTOTAL(9,BK8:BK12)</f>
        <v>0</v>
      </c>
      <c r="BL13" s="902" t="str">
        <f>IF(ISNUMBER((I13-AB13+L13)/(F13)),(I13-AB13+L13)/(F13)," - ")</f>
        <v xml:space="preserve"> - </v>
      </c>
      <c r="BM13" s="907">
        <f>SUBTOTAL(9,BM9:BM12)</f>
        <v>2.181818181818182E-2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112</v>
      </c>
      <c r="G16" s="601">
        <f>IF(ISNUMBER(IF(D_I="SI",Datos!I16,Datos!I16+Datos!AC16)),IF(D_I="SI",Datos!I16,Datos!I16+Datos!AC16)," - ")</f>
        <v>112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159</v>
      </c>
      <c r="AC16" s="229">
        <f>IF(ISNUMBER(Datos!Q16),Datos!Q16," - ")</f>
        <v>3</v>
      </c>
      <c r="AD16" s="337"/>
      <c r="AE16" s="487"/>
      <c r="AF16" s="599">
        <f>IF(ISNUMBER(IF(D_I="SI",Datos!L16,Datos!L16+Datos!AF16)),IF(D_I="SI",Datos!L16,Datos!L16+Datos!AF16)," - ")</f>
        <v>106</v>
      </c>
      <c r="AG16" s="337"/>
      <c r="AH16" s="337"/>
      <c r="AI16" s="337"/>
      <c r="AJ16" s="337"/>
      <c r="AK16" s="337"/>
      <c r="AL16" s="482"/>
      <c r="AM16" s="338">
        <f>IF(ISNUMBER(Datos!R16),Datos!R16," - ")</f>
        <v>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v>
      </c>
      <c r="BD16" s="232">
        <f>IF(ISNUMBER(Datos!N16),Datos!N16," - ")</f>
        <v>122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1.0392156862745099</v>
      </c>
      <c r="BH16" s="263">
        <f>IF(ISNUMBER(((IF(D_I="SI",Datos!L16/Datos!K16,(Datos!L16+Datos!AF16)/(Datos!K16+Datos!AE16)))*11)/factor_trimestre),((IF(D_I="SI",Datos!L16/Datos!K16,(Datos!L16+Datos!AF16)/(Datos!K16+Datos!AE16)))*11)/factor_trimestre," - ")</f>
        <v>2</v>
      </c>
      <c r="BI16" s="246">
        <f>IF(ISNUMBER('Resol  Asuntos'!D16/NºAsuntos!G16),'Resol  Asuntos'!D16/NºAsuntos!G16," - ")</f>
        <v>5.6603773584905662E-2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v>
      </c>
      <c r="AC17" s="229">
        <f>IF(ISNUMBER(Datos!Q17),Datos!Q17," - ")</f>
        <v>0</v>
      </c>
      <c r="AD17" s="337"/>
      <c r="AE17" s="487"/>
      <c r="AF17" s="335">
        <f>IF(ISNUMBER(Datos!L17),Datos!L17,"-")</f>
        <v>26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19.5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112</v>
      </c>
      <c r="G18" s="901">
        <f>SUBTOTAL(9,G15:G17)</f>
        <v>138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163</v>
      </c>
      <c r="AC18" s="902">
        <f t="shared" si="4"/>
        <v>3</v>
      </c>
      <c r="AD18" s="902">
        <f t="shared" si="4"/>
        <v>0</v>
      </c>
      <c r="AE18" s="902">
        <f t="shared" si="4"/>
        <v>0</v>
      </c>
      <c r="AF18" s="902">
        <f t="shared" si="4"/>
        <v>132</v>
      </c>
      <c r="AG18" s="902">
        <f t="shared" si="4"/>
        <v>0</v>
      </c>
      <c r="AH18" s="902">
        <f t="shared" si="4"/>
        <v>0</v>
      </c>
      <c r="AI18" s="902">
        <f t="shared" si="4"/>
        <v>0</v>
      </c>
      <c r="AJ18" s="902">
        <f t="shared" si="4"/>
        <v>0</v>
      </c>
      <c r="AK18" s="902">
        <f t="shared" si="4"/>
        <v>0</v>
      </c>
      <c r="AL18" s="902">
        <f t="shared" si="4"/>
        <v>0</v>
      </c>
      <c r="AM18" s="902">
        <f t="shared" si="4"/>
        <v>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v>
      </c>
      <c r="BD18" s="902">
        <f t="shared" si="4"/>
        <v>123</v>
      </c>
      <c r="BE18" s="902">
        <f t="shared" si="4"/>
        <v>0</v>
      </c>
      <c r="BF18" s="902">
        <f t="shared" si="4"/>
        <v>0</v>
      </c>
      <c r="BG18" s="902">
        <f>IF(ISNUMBER(Datos!K18/Datos!J18),Datos!K18/Datos!J18," - ")</f>
        <v>1.0382165605095541</v>
      </c>
      <c r="BH18" s="906">
        <f>IF(ISNUMBER(((Datos!L18/Datos!K18)*11)/factor_trimestre),((Datos!L18/Datos!K18)*11)/factor_trimestre," - ")</f>
        <v>2.4294478527607364</v>
      </c>
      <c r="BI18" s="902">
        <f>SUBTOTAL(9,BI15:BI17)</f>
        <v>5.6603773584905662E-2</v>
      </c>
      <c r="BJ18" s="902">
        <f>SUBTOTAL(9,BJ15:BJ17)</f>
        <v>0</v>
      </c>
      <c r="BK18" s="902">
        <f>SUBTOTAL(9,BK15:BK17)</f>
        <v>0</v>
      </c>
      <c r="BL18" s="902">
        <f>IF(ISNUMBER((I18-AB18+L18)/(F18)),(I18-AB18+L18)/(F18)," - ")</f>
        <v>-1.4553571428571428</v>
      </c>
      <c r="BM18" s="908">
        <f>IF(ISNUMBER((Datos!P18-Datos!Q18)/(Datos!R18-Datos!P18+Datos!Q18)),(Datos!P18-Datos!Q18)/(Datos!R18-Datos!P18+Datos!Q18)," - ")</f>
        <v>-0.3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112</v>
      </c>
      <c r="G19" s="823">
        <f t="shared" si="6"/>
        <v>138</v>
      </c>
      <c r="H19" s="825">
        <f t="shared" si="6"/>
        <v>0</v>
      </c>
      <c r="I19" s="823">
        <f t="shared" si="6"/>
        <v>0</v>
      </c>
      <c r="J19" s="825">
        <f t="shared" si="6"/>
        <v>0</v>
      </c>
      <c r="K19" s="825">
        <f t="shared" si="6"/>
        <v>0</v>
      </c>
      <c r="L19" s="884">
        <f t="shared" si="6"/>
        <v>0</v>
      </c>
      <c r="M19" s="884">
        <f t="shared" si="6"/>
        <v>0</v>
      </c>
      <c r="N19" s="884">
        <f t="shared" si="6"/>
        <v>0</v>
      </c>
      <c r="O19" s="884">
        <f t="shared" si="6"/>
        <v>0</v>
      </c>
      <c r="P19" s="884">
        <f t="shared" si="6"/>
        <v>0</v>
      </c>
      <c r="Q19" s="825">
        <f t="shared" si="6"/>
        <v>20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163</v>
      </c>
      <c r="AC19" s="824">
        <f t="shared" si="7"/>
        <v>11</v>
      </c>
      <c r="AD19" s="824">
        <f t="shared" si="7"/>
        <v>0</v>
      </c>
      <c r="AE19" s="824">
        <f t="shared" si="7"/>
        <v>0</v>
      </c>
      <c r="AF19" s="831">
        <f t="shared" si="7"/>
        <v>132</v>
      </c>
      <c r="AG19" s="831">
        <f t="shared" si="7"/>
        <v>0</v>
      </c>
      <c r="AH19" s="831">
        <f t="shared" si="7"/>
        <v>3</v>
      </c>
      <c r="AI19" s="831">
        <f t="shared" si="7"/>
        <v>0</v>
      </c>
      <c r="AJ19" s="824">
        <f t="shared" si="7"/>
        <v>0</v>
      </c>
      <c r="AK19" s="831">
        <f t="shared" si="7"/>
        <v>0</v>
      </c>
      <c r="AL19" s="831">
        <f t="shared" si="7"/>
        <v>0</v>
      </c>
      <c r="AM19" s="831">
        <f t="shared" si="7"/>
        <v>569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38</v>
      </c>
      <c r="BD19" s="823">
        <f t="shared" si="7"/>
        <v>152</v>
      </c>
      <c r="BE19" s="823">
        <f t="shared" si="7"/>
        <v>0</v>
      </c>
      <c r="BF19" s="833">
        <f t="shared" si="7"/>
        <v>0</v>
      </c>
      <c r="BG19" s="918">
        <f>IF(ISNUMBER(Datos!K19/Datos!J19),Datos!K19/Datos!J19," - ")</f>
        <v>1.0965250965250966</v>
      </c>
      <c r="BH19" s="918">
        <f>IF(ISNUMBER(((Datos!L19/Datos!K19)*11)/factor_trimestre),((Datos!L19/Datos!K19)*11)/factor_trimestre," - ")</f>
        <v>4.700704225352113</v>
      </c>
      <c r="BI19" s="816">
        <f>IF(ISNUMBER(Datos!J19/Datos!I19),Datos!J19/Datos!I19," - ")</f>
        <v>0.55106382978723401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-1.4553571428571428</v>
      </c>
      <c r="BM19" s="892">
        <f>IF(ISNUMBER((Datos!P19-Datos!Q19+R19)/(Datos!R19-Datos!P19+Datos!Q19-R19)),(Datos!P19-Datos!Q19+R19)/(Datos!R19-Datos!P19+Datos!Q19-R19)," - ")</f>
        <v>1.607142857142857E-2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64.663230149238089</v>
      </c>
      <c r="G21" s="555">
        <f>IF(ISNUMBER(STDEV(G8:G18)),STDEV(G8:G18),"-")</f>
        <v>65.247222163092886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87.479711933682083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13.276545735494103</v>
      </c>
      <c r="BD21" s="554"/>
      <c r="BE21" s="554">
        <f>IF(ISNUMBER(STDEV(BE8:BE18)),STDEV(BE8:BE18),"-")</f>
        <v>0</v>
      </c>
      <c r="BF21" s="559">
        <f>IF(ISNUMBER(STDEV(BF8:BF18)),STDEV(BF8:BF18),"-")</f>
        <v>0</v>
      </c>
      <c r="BG21" s="778">
        <f>IF(ISNUMBER(STDEV(BG8:BG18)),STDEV(BG8:BG18),"-")</f>
        <v>9.4843720726215372E-2</v>
      </c>
      <c r="BH21" s="779">
        <f>IF(ISNUMBER(STDEV(BH8:BH18)),STDEV(BH8:BH18),"-")</f>
        <v>7.0595937770209751</v>
      </c>
      <c r="BI21" s="252">
        <f>IF(ISNUMBER(STDEV(BI8:BI18)),STDEV(BI8:BI18),"-")</f>
        <v>0.10255053312032297</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tkGYBaeqbq416aOpZFeJfqZY/YxzHsW5vqoZlltYB7r/S3vp2EWspCSoxcXlE0GoSxYx8g5kZ02fT85x7uDbQ==" saltValue="5bUe9XrGWiA01wTw7I8w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HUESCA  Resumenes por Partidos Judiciales  BOLTAÑA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v>
      </c>
      <c r="AA12" s="335" t="str">
        <f>IF(ISNUMBER(IF(J_V="SI",Datos!L12,Datos!L12+Datos!AB12)-IF(Monitorios="SI",Datos!CD12,0)),
                          IF(J_V="SI",Datos!L12,Datos!L12+Datos!AB12)-IF(Monitorios="SI",Datos!CD12,0),
                          " - ")</f>
        <v xml:space="preserve"> - </v>
      </c>
      <c r="AB12" s="337"/>
      <c r="AC12" s="337"/>
      <c r="AD12" s="487"/>
      <c r="AE12" s="487">
        <f>IF(ISNUMBER(Datos!R12),Datos!R12," - ")</f>
        <v>562</v>
      </c>
      <c r="AF12" s="232" t="str">
        <f>IF(ISNUMBER(Datos!BV12),Datos!BV12," - ")</f>
        <v xml:space="preserve"> - </v>
      </c>
      <c r="AG12" s="228" t="str">
        <f>IF(ISNUMBER(Datos!DV12),Datos!DV12," - ")</f>
        <v xml:space="preserve"> - </v>
      </c>
      <c r="AH12" s="301"/>
      <c r="AI12" s="230"/>
      <c r="AJ12" s="228">
        <f>IF(ISNUMBER(Datos!M12),Datos!M12," - ")</f>
        <v>29</v>
      </c>
      <c r="AK12" s="232">
        <f>IF(ISNUMBER(Datos!N12),Datos!N12," - ")</f>
        <v>29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7.7073170731707323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2.181818181818182E-2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8</v>
      </c>
      <c r="AA13" s="903">
        <f t="shared" si="2"/>
        <v>0</v>
      </c>
      <c r="AB13" s="903">
        <f t="shared" si="2"/>
        <v>0</v>
      </c>
      <c r="AC13" s="903">
        <f t="shared" si="2"/>
        <v>0</v>
      </c>
      <c r="AD13" s="903">
        <f t="shared" si="2"/>
        <v>0</v>
      </c>
      <c r="AE13" s="903">
        <f t="shared" si="2"/>
        <v>562</v>
      </c>
      <c r="AF13" s="911">
        <f t="shared" si="2"/>
        <v>0</v>
      </c>
      <c r="AG13" s="911">
        <f t="shared" si="2"/>
        <v>0</v>
      </c>
      <c r="AH13" s="911">
        <f t="shared" si="2"/>
        <v>0</v>
      </c>
      <c r="AI13" s="911">
        <f t="shared" si="2"/>
        <v>0</v>
      </c>
      <c r="AJ13" s="911">
        <f t="shared" si="2"/>
        <v>29</v>
      </c>
      <c r="AK13" s="911">
        <f t="shared" si="2"/>
        <v>29</v>
      </c>
      <c r="AL13" s="911">
        <f t="shared" si="2"/>
        <v>0</v>
      </c>
      <c r="AM13" s="911">
        <f t="shared" si="2"/>
        <v>0</v>
      </c>
      <c r="AN13" s="911">
        <f t="shared" si="2"/>
        <v>0</v>
      </c>
      <c r="AO13" s="907">
        <f>IF(ISNUMBER(((NºAsuntos!I13/NºAsuntos!G13)*11)/factor_trimestre),((NºAsuntos!I13/NºAsuntos!G13)*11)/factor_trimestre," - ")</f>
        <v>7.7073170731707323</v>
      </c>
      <c r="AP13" s="913" t="str">
        <f>IF(ISNUMBER(Datos!CI13/Datos!CJ13),Datos!CI13/Datos!CJ13," - ")</f>
        <v xml:space="preserve"> - </v>
      </c>
      <c r="AQ13" s="931">
        <f t="shared" ref="AQ13:AV13" si="3">SUBTOTAL(9,AQ9:AQ12)</f>
        <v>0</v>
      </c>
      <c r="AR13" s="931">
        <f t="shared" si="3"/>
        <v>2.181818181818182E-2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112</v>
      </c>
      <c r="G16" s="228">
        <f>IF(ISNUMBER(IF(D_I="SI",Datos!I16,Datos!I16+Datos!AC16)),IF(D_I="SI",Datos!I16,Datos!I16+Datos!AC16)," - ")</f>
        <v>112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159</v>
      </c>
      <c r="Z16" s="622">
        <f>IF(ISNUMBER(Datos!Q16),Datos!Q16," - ")</f>
        <v>3</v>
      </c>
      <c r="AA16" s="335">
        <f>IF(ISNUMBER(IF(D_I="SI",Datos!L16,Datos!L16+Datos!AF16)),IF(D_I="SI",Datos!L16,Datos!L16+Datos!AF16)," - ")</f>
        <v>106</v>
      </c>
      <c r="AB16" s="337"/>
      <c r="AC16" s="337"/>
      <c r="AD16" s="487"/>
      <c r="AE16" s="487">
        <f>IF(ISNUMBER(Datos!R16),Datos!R16," - ")</f>
        <v>7</v>
      </c>
      <c r="AF16" s="232" t="str">
        <f>IF(ISNUMBER(Datos!BV16),Datos!BV16," - ")</f>
        <v xml:space="preserve"> - </v>
      </c>
      <c r="AG16" s="228"/>
      <c r="AH16" s="301"/>
      <c r="AI16" s="230"/>
      <c r="AJ16" s="228">
        <f>IF(ISNUMBER(Datos!M16),Datos!M16," - ")</f>
        <v>9</v>
      </c>
      <c r="AK16" s="232">
        <f>IF(ISNUMBER(Datos!N16),Datos!N16," - ")</f>
        <v>122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v>
      </c>
      <c r="Z17" s="622">
        <f>IF(ISNUMBER(Datos!Q17),Datos!Q17," - ")</f>
        <v>0</v>
      </c>
      <c r="AA17" s="335">
        <f>IF(ISNUMBER(Datos!L17),Datos!L17,"-")</f>
        <v>26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112</v>
      </c>
      <c r="G18" s="901">
        <f>SUBTOTAL(9,G15:G17)</f>
        <v>138</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163</v>
      </c>
      <c r="Z18" s="935">
        <f t="shared" si="5"/>
        <v>3</v>
      </c>
      <c r="AA18" s="935">
        <f t="shared" si="5"/>
        <v>132</v>
      </c>
      <c r="AB18" s="935">
        <f t="shared" si="5"/>
        <v>0</v>
      </c>
      <c r="AC18" s="935">
        <f t="shared" si="5"/>
        <v>0</v>
      </c>
      <c r="AD18" s="935">
        <f t="shared" si="5"/>
        <v>0</v>
      </c>
      <c r="AE18" s="935">
        <f t="shared" si="5"/>
        <v>7</v>
      </c>
      <c r="AF18" s="935">
        <f t="shared" si="5"/>
        <v>0</v>
      </c>
      <c r="AG18" s="935">
        <f t="shared" si="5"/>
        <v>0</v>
      </c>
      <c r="AH18" s="935">
        <f t="shared" si="5"/>
        <v>0</v>
      </c>
      <c r="AI18" s="935">
        <f t="shared" si="5"/>
        <v>0</v>
      </c>
      <c r="AJ18" s="935">
        <f t="shared" si="5"/>
        <v>9</v>
      </c>
      <c r="AK18" s="935">
        <f t="shared" si="5"/>
        <v>123</v>
      </c>
      <c r="AL18" s="935">
        <f t="shared" si="5"/>
        <v>0</v>
      </c>
      <c r="AM18" s="935">
        <f t="shared" si="5"/>
        <v>0</v>
      </c>
      <c r="AN18" s="935">
        <f t="shared" si="5"/>
        <v>0</v>
      </c>
      <c r="AO18" s="937">
        <f>IF(ISNUMBER(((NºAsuntos!I18/NºAsuntos!G18)*11)/factor_trimestre),((NºAsuntos!I18/NºAsuntos!G18)*11)/factor_trimestre," - ")</f>
        <v>2.4294478527607364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112</v>
      </c>
      <c r="G19" s="823">
        <f t="shared" si="7"/>
        <v>138</v>
      </c>
      <c r="H19" s="824">
        <f t="shared" si="7"/>
        <v>0</v>
      </c>
      <c r="I19" s="823">
        <f t="shared" si="7"/>
        <v>0</v>
      </c>
      <c r="J19" s="825">
        <f t="shared" si="7"/>
        <v>0</v>
      </c>
      <c r="K19" s="823">
        <f t="shared" si="7"/>
        <v>0</v>
      </c>
      <c r="L19" s="826">
        <f t="shared" si="7"/>
        <v>0</v>
      </c>
      <c r="M19" s="823">
        <f t="shared" si="7"/>
        <v>0</v>
      </c>
      <c r="N19" s="824">
        <f t="shared" si="7"/>
        <v>20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163</v>
      </c>
      <c r="Z19" s="830">
        <f t="shared" si="8"/>
        <v>11</v>
      </c>
      <c r="AA19" s="831">
        <f t="shared" si="8"/>
        <v>132</v>
      </c>
      <c r="AB19" s="831">
        <f t="shared" si="8"/>
        <v>0</v>
      </c>
      <c r="AC19" s="831">
        <f t="shared" si="8"/>
        <v>0</v>
      </c>
      <c r="AD19" s="832">
        <f t="shared" si="8"/>
        <v>0</v>
      </c>
      <c r="AE19" s="832">
        <f t="shared" si="8"/>
        <v>569</v>
      </c>
      <c r="AF19" s="833">
        <f t="shared" si="8"/>
        <v>0</v>
      </c>
      <c r="AG19" s="834">
        <f t="shared" si="8"/>
        <v>0</v>
      </c>
      <c r="AH19" s="835">
        <f t="shared" si="8"/>
        <v>0</v>
      </c>
      <c r="AI19" s="833">
        <f t="shared" si="8"/>
        <v>0</v>
      </c>
      <c r="AJ19" s="823">
        <f t="shared" si="8"/>
        <v>38</v>
      </c>
      <c r="AK19" s="823">
        <f t="shared" si="8"/>
        <v>152</v>
      </c>
      <c r="AL19" s="823">
        <f t="shared" si="8"/>
        <v>0</v>
      </c>
      <c r="AM19" s="836">
        <f t="shared" si="8"/>
        <v>0</v>
      </c>
      <c r="AN19" s="826">
        <f>IF(ISNUMBER(Datos!K19/Datos!J19),Datos!K19/Datos!J19," - ")</f>
        <v>1.0965250965250966</v>
      </c>
      <c r="AO19" s="826">
        <f>IF(ISNUMBER(FIND("06",Criterios!A8,1)),(IF(ISNUMBER(((Datos!R19/Datos!Q19)*11)/factor_trimestre),((Datos!R19/Datos!Q19)*11)/factor_trimestre," - ")),(IF(ISNUMBER(((Datos!L19/Datos!K19)*11)/factor_trimestre),((Datos!L19/Datos!K19)*11)/factor_trimestre," - ")))</f>
        <v>4.700704225352113</v>
      </c>
      <c r="AP19" s="837" t="str">
        <f>IF(ISNUMBER(Datos!CI19/Datos!CJ19),Datos!CI19/Datos!CJ19," - ")</f>
        <v xml:space="preserve"> - </v>
      </c>
      <c r="AQ19" s="837">
        <f>IF(OR(ISNUMBER(FIND("01",Criterios!A8,1)),ISNUMBER(FIND("02",Criterios!A8,1)),ISNUMBER(FIND("03",Criterios!A8,1)),ISNUMBER(FIND("04",Criterios!A8,1))),(J19-Y19+K19)/(F19-K19),(I19-Y19+K19)/(F19-K19))</f>
        <v>-1.4553571428571428</v>
      </c>
      <c r="AR19" s="837">
        <f>IF(ISNUMBER((Datos!P19-Datos!Q19+O19)/(Datos!R19-Datos!P19+Datos!Q19-O19)),(Datos!P19-Datos!Q19+O19)/(Datos!R19-Datos!P19+Datos!Q19-O19)," - ")</f>
        <v>1.607142857142857E-2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64.663230149238089</v>
      </c>
      <c r="G21" s="555">
        <f>IF(ISNUMBER(STDEV(G8:G18)),STDEV(G8:G18),"-")</f>
        <v>65.247222163092886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13.276545735494103</v>
      </c>
      <c r="AK21" s="255"/>
      <c r="AL21" s="255">
        <f>IF(ISNUMBER(STDEV(AL8:AL18)),STDEV(AL8:AL18),"-")</f>
        <v>0</v>
      </c>
      <c r="AM21" s="257">
        <f>IF(ISNUMBER(STDEV(AM8:AM18)),STDEV(AM8:AM18),"-")</f>
        <v>0</v>
      </c>
      <c r="AN21" s="542">
        <f>IF(ISNUMBER(STDEV(AN8:AN18)),STDEV(AN8:AN18),"-")</f>
        <v>0</v>
      </c>
      <c r="AO21" s="543">
        <f>IF(ISNUMBER(STDEV(AO8:AO18)),STDEV(AO8:AO18),"-")</f>
        <v>7.0598571538602375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tPvc3g3MwMntzl/67J1f0RbtIePkc+Ze71ZWNX4vpptIX5hbGdrTtMv7GChWRLpK8/TfZWXQhDArcsyz6qtsQ==" saltValue="5Cm1mDn/NMCkRDGN8Nwi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0F5ogHDg4jrj1VHEI3QWWls7igimQvXdvtVshh+2aG2pdosoMm7IP7f3ZUE2Zn/mXxKy9CvHD6o/rg6OKTPQhw==" saltValue="eiEVfT5+ZVEUGB5OVMdq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dTLNpPTZeR2LDEs7vtg7ndCj9Sy08kQ4SvfCoxbqoOGwAO5rwLedFvTEVSe6Jp4nVTX0QepbA71KehtIUGiMw==" saltValue="jtVnyuT4IFnleKROZq1g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HUESCA  Resumenes por Partidos Judiciales  BOLTAÑA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0.23577235772357724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0.16671623296268195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XpYT8yLpvUvfx6QWZAaP4I0e0WwduQL3awwa0ktSrEjsIf2c0kPQYQ/+hloDe7A0sUOB+qwLJi2B4JTs9a61GQ==" saltValue="/r2O5OFyRc+qKw2/4KN9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t19Pv77W7Rn7F2RtZIb3ldXB346qIiF5xyT5wVywGOCl+QJ4dSIUZjio3UYnooD7nyvAZ2ygftIH0EVaRLjGw==" saltValue="1TtFB+u/CknoFmyT7a/R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HUESCA</v>
      </c>
      <c r="D3" s="378"/>
      <c r="E3" s="378"/>
      <c r="F3" s="378"/>
    </row>
    <row r="4" spans="1:14" ht="13.5" thickBot="1">
      <c r="A4" s="378"/>
      <c r="B4" s="394" t="str">
        <f>Criterios!A11 &amp;"  "&amp;Criterios!B11</f>
        <v>Resumenes por Partidos Judiciales  BOLTAÑA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337</v>
      </c>
      <c r="D12" s="407">
        <f>IF(ISNUMBER(C12/Datos!BH12),C12/Datos!BH12," - ")</f>
        <v>337</v>
      </c>
      <c r="E12" s="406">
        <f>IF(ISNUMBER(IF(J_V="SI",Datos!J12,Datos!J12+Datos!Z12)),IF(J_V="SI",Datos!J12,Datos!J12+Datos!Z12)," - ")</f>
        <v>102</v>
      </c>
      <c r="F12" s="407">
        <f>IF(ISNUMBER(E12/B12),E12/B12," - ")</f>
        <v>102</v>
      </c>
      <c r="G12" s="406">
        <f>IF(ISNUMBER(IF(J_V="SI",Datos!K12,Datos!K12+Datos!AA12)),IF(J_V="SI",Datos!K12,Datos!K12+Datos!AA12)," - ")</f>
        <v>123</v>
      </c>
      <c r="H12" s="407">
        <f>IF(ISNUMBER(G12/B12),G12/B12," - ")</f>
        <v>123</v>
      </c>
      <c r="I12" s="406">
        <f>IF(ISNUMBER(IF(J_V="SI",Datos!L12,Datos!L12+Datos!AB12)),IF(J_V="SI",Datos!L12,Datos!L12+Datos!AB12)," - ")</f>
        <v>316</v>
      </c>
      <c r="J12" s="407">
        <f>IF(ISNUMBER(I12/B12),I12/B12," - ")</f>
        <v>316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337</v>
      </c>
      <c r="D13" s="853" t="str">
        <f>IF(ISNUMBER(C13/Datos!BI13),C13/Datos!BI13," - ")</f>
        <v xml:space="preserve"> - </v>
      </c>
      <c r="E13" s="852">
        <f>SUBTOTAL(9,E8:E12)</f>
        <v>102</v>
      </c>
      <c r="F13" s="853">
        <f>IF(ISNUMBER(E13/B13),E13/B13," - ")</f>
        <v>102</v>
      </c>
      <c r="G13" s="852">
        <f>SUBTOTAL(9,G8:G12)</f>
        <v>123</v>
      </c>
      <c r="H13" s="853">
        <f>IF(ISNUMBER(G13/B13),G13/B13," - ")</f>
        <v>123</v>
      </c>
      <c r="I13" s="852">
        <f>SUBTOTAL(9,I8:I12)</f>
        <v>316</v>
      </c>
      <c r="J13" s="853">
        <f>IF(ISNUMBER(I13/B13),I13/B13," - ")</f>
        <v>316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112</v>
      </c>
      <c r="D16" s="407">
        <f>IF(ISNUMBER(C16/Datos!BH16),C16/Datos!BH16," - ")</f>
        <v>112</v>
      </c>
      <c r="E16" s="406">
        <f>IF(ISNUMBER(IF(D_I="SI",Datos!J16,Datos!J16+Datos!AD16)),IF(D_I="SI",Datos!J16,Datos!J16+Datos!AD16)," - ")</f>
        <v>153</v>
      </c>
      <c r="F16" s="407">
        <f>IF(ISNUMBER(E16/B16),E16/B16," - ")</f>
        <v>153</v>
      </c>
      <c r="G16" s="406">
        <f>IF(ISNUMBER(IF(D_I="SI",Datos!K16,Datos!K16+Datos!AE16)),IF(D_I="SI",Datos!K16,Datos!K16+Datos!AE16)," - ")</f>
        <v>159</v>
      </c>
      <c r="H16" s="407">
        <f>IF(ISNUMBER(G16/B16),G16/B16," - ")</f>
        <v>159</v>
      </c>
      <c r="I16" s="406">
        <f>IF(ISNUMBER(IF(D_I="SI",Datos!L16,Datos!L16+Datos!AF16)),IF(D_I="SI",Datos!L16,Datos!L16+Datos!AF16)," - ")</f>
        <v>106</v>
      </c>
      <c r="J16" s="407">
        <f>IF(ISNUMBER(I16/B16),I16/B16," - ")</f>
        <v>106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v>
      </c>
      <c r="D17" s="407">
        <f>IF(ISNUMBER(C17/Datos!BH17),C17/Datos!BH17," - ")</f>
        <v>26</v>
      </c>
      <c r="E17" s="406">
        <f>IF(ISNUMBER(IF(D_I="SI",Datos!J17,Datos!J17+Datos!AD17)),IF(D_I="SI",Datos!J17,Datos!J17+Datos!AD17)," - ")</f>
        <v>4</v>
      </c>
      <c r="F17" s="407">
        <f>IF(ISNUMBER(E17/B17),E17/B17," - ")</f>
        <v>4</v>
      </c>
      <c r="G17" s="406">
        <f>IF(ISNUMBER(IF(D_I="SI",Datos!K17,Datos!K17+Datos!AE17)),IF(D_I="SI",Datos!K17,Datos!K17+Datos!AE17)," - ")</f>
        <v>4</v>
      </c>
      <c r="H17" s="407">
        <f>IF(ISNUMBER(G17/B17),G17/B17," - ")</f>
        <v>4</v>
      </c>
      <c r="I17" s="406">
        <f>IF(ISNUMBER(IF(D_I="SI",Datos!L17,Datos!L17+Datos!AF17)),IF(D_I="SI",Datos!L17,Datos!L17+Datos!AF17)," - ")</f>
        <v>26</v>
      </c>
      <c r="J17" s="407">
        <f>IF(ISNUMBER(I17/B17),I17/B17," - ")</f>
        <v>26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138</v>
      </c>
      <c r="D18" s="853" t="str">
        <f>IF(ISNUMBER(C18/Datos!BI18),C18/Datos!BI18," - ")</f>
        <v xml:space="preserve"> - </v>
      </c>
      <c r="E18" s="852">
        <f>SUBTOTAL(9,E14:E17)</f>
        <v>157</v>
      </c>
      <c r="F18" s="853">
        <f>IF(ISNUMBER(E18/B18),E18/B18," - ")</f>
        <v>157</v>
      </c>
      <c r="G18" s="852">
        <f>SUBTOTAL(9,G14:G17)</f>
        <v>163</v>
      </c>
      <c r="H18" s="853">
        <f>IF(ISNUMBER(G18/B18),G18/B18," - ")</f>
        <v>163</v>
      </c>
      <c r="I18" s="852">
        <f>SUBTOTAL(9,I14:I17)</f>
        <v>132</v>
      </c>
      <c r="J18" s="853">
        <f>IF(ISNUMBER(I18/B18),I18/B18," - ")</f>
        <v>132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475</v>
      </c>
      <c r="D19" s="798" t="str">
        <f>IF(ISNUMBER(C19/Datos!BI19),C19/Datos!BI19," - ")</f>
        <v xml:space="preserve"> - </v>
      </c>
      <c r="E19" s="797">
        <f>SUBTOTAL(9,E9:E18)</f>
        <v>259</v>
      </c>
      <c r="F19" s="798">
        <f>IF(ISNUMBER(E19/B19),E19/B19," - ")</f>
        <v>259</v>
      </c>
      <c r="G19" s="797">
        <f>SUBTOTAL(9,G9:G18)</f>
        <v>286</v>
      </c>
      <c r="H19" s="798">
        <f>IF(ISNUMBER(G19/B19),G19/B19," - ")</f>
        <v>286</v>
      </c>
      <c r="I19" s="797">
        <f>SUBTOTAL(9,I9:I18)</f>
        <v>448</v>
      </c>
      <c r="J19" s="798">
        <f>IF(ISNUMBER(I19/B19),I19/B19," - ")</f>
        <v>448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nlh94al3stU4AWZua3t+7b0Hvg70J5dS6T+6XOus/Z1GDfhC2RTDQ9Ndva7kpfbo76XWEX5I4WUdtm4txklRw==" saltValue="Pk54brB2k0hZ+jATYmLo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HUESCA  Resumenes por Partidos Judiciales  BOLTAÑA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562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v>
      </c>
      <c r="AM12" s="693">
        <f>IF(ISNUMBER(Datos!N12+DatosP!N16),Datos!N12+DatosP!N16," - ")</f>
        <v>29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7.7073170731707323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2.181818181818182E-2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8</v>
      </c>
      <c r="AE13" s="942">
        <f t="shared" si="1"/>
        <v>0</v>
      </c>
      <c r="AF13" s="942">
        <f t="shared" si="1"/>
        <v>0</v>
      </c>
      <c r="AG13" s="942">
        <f t="shared" si="1"/>
        <v>0</v>
      </c>
      <c r="AH13" s="942">
        <f t="shared" si="1"/>
        <v>562</v>
      </c>
      <c r="AI13" s="942">
        <f t="shared" si="1"/>
        <v>0</v>
      </c>
      <c r="AJ13" s="942">
        <f t="shared" si="1"/>
        <v>0</v>
      </c>
      <c r="AK13" s="942">
        <f t="shared" si="1"/>
        <v>0</v>
      </c>
      <c r="AL13" s="942">
        <f t="shared" si="1"/>
        <v>29</v>
      </c>
      <c r="AM13" s="942">
        <f t="shared" si="1"/>
        <v>29</v>
      </c>
      <c r="AN13" s="942">
        <f t="shared" si="1"/>
        <v>0</v>
      </c>
      <c r="AO13" s="942">
        <f t="shared" si="1"/>
        <v>0</v>
      </c>
      <c r="AP13" s="947">
        <f>IF(ISNUMBER(((Datos!L13/Datos!K13)*11)/factor_trimestre),((Datos!L13/Datos!K13)*11)/factor_trimestre," - ")</f>
        <v>7.7603305785123968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2.181818181818182E-2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2.4294478527607364</v>
      </c>
      <c r="AQ18" s="947">
        <f>IF(ISNUMBER(((Datos!M18/Datos!L18)*11)/factor_trimestre),((Datos!M18/Datos!L18)*11)/factor_trimestre," - ")</f>
        <v>0.20454545454545456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v>
      </c>
      <c r="AW18" s="949">
        <f>IF(ISNUMBER((Datos!Q18-Datos!R18)/(Datos!S18-Datos!Q18+Datos!R18)),(Datos!Q18-Datos!R18)/(Datos!S18-Datos!Q18+Datos!R18)," - ")</f>
        <v>-4.49438202247191E-2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8</v>
      </c>
      <c r="AE19" s="960">
        <f t="shared" si="5"/>
        <v>0</v>
      </c>
      <c r="AF19" s="961">
        <f t="shared" si="5"/>
        <v>0</v>
      </c>
      <c r="AG19" s="961">
        <f t="shared" si="5"/>
        <v>0</v>
      </c>
      <c r="AH19" s="961">
        <f t="shared" si="5"/>
        <v>562</v>
      </c>
      <c r="AI19" s="961">
        <f t="shared" si="5"/>
        <v>0</v>
      </c>
      <c r="AJ19" s="962">
        <f t="shared" si="5"/>
        <v>0</v>
      </c>
      <c r="AK19" s="962">
        <f t="shared" si="5"/>
        <v>0</v>
      </c>
      <c r="AL19" s="954">
        <f t="shared" si="5"/>
        <v>29</v>
      </c>
      <c r="AM19" s="954">
        <f t="shared" si="5"/>
        <v>29</v>
      </c>
      <c r="AN19" s="954">
        <f t="shared" si="5"/>
        <v>0</v>
      </c>
      <c r="AO19" s="954">
        <f t="shared" si="5"/>
        <v>0</v>
      </c>
      <c r="AP19" s="954">
        <f>IF(ISNUMBER(((Datos!L19/Datos!K19)*11)/factor_trimestre),((Datos!L19/Datos!K19)*11)/factor_trimestre," - ")</f>
        <v>4.700704225352113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1.607142857142857E-2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16.743157806499145</v>
      </c>
      <c r="AM21" s="739"/>
      <c r="AN21" s="739">
        <f>IF(ISNUMBER(STDEV(AN8:AN18)),STDEV(AN8:AN18),"-")</f>
        <v>0</v>
      </c>
      <c r="AO21" s="745">
        <f>IF(ISNUMBER(STDEV(AO8:AO18)),STDEV(AO8:AO18),"-")</f>
        <v>0</v>
      </c>
      <c r="AP21" s="782">
        <f>IF(ISNUMBER(STDEV(AP8:AP18)),STDEV(AP8:AP18),"-")</f>
        <v>3.0625976059334863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fRxfr4irM3UeCe37R95RcUDVZhM6jFYW8xUMULk0vTIFnXJPowbEm2ijo/lS6U2pIW7BUCvENF/IHE0e7UOWOA==" saltValue="F123AZx9B3O0w5g6CzLp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HUESCA</v>
      </c>
      <c r="C3" s="418"/>
      <c r="F3" s="378"/>
      <c r="G3" s="378"/>
      <c r="H3" s="378"/>
    </row>
    <row r="4" spans="1:15" ht="13.5" thickBot="1">
      <c r="A4" s="378"/>
      <c r="B4" s="394" t="str">
        <f>Criterios!A11 &amp;"  "&amp;Criterios!B11</f>
        <v>Resumenes por Partidos Judiciales  BOLTAÑA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lNhQVKdWBk+G3zQhBZcApnRqZD26noAlk9Y5q/nsiE3gfAcWgVe6DxFAnTLCPPLOZrJm6TBnzXoWMZeui3dVg==" saltValue="SqZ9MVwxMGtPPrNSGbSo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HUESCA</v>
      </c>
      <c r="C3" s="394"/>
      <c r="D3" s="428"/>
    </row>
    <row r="4" spans="1:9" ht="13.5" thickBot="1">
      <c r="B4" s="394" t="str">
        <f>Criterios!A11 &amp;"  "&amp;Criterios!B11</f>
        <v>Resumenes por Partidos Judiciales  BOLTAÑA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29</v>
      </c>
      <c r="E12" s="407">
        <f t="shared" si="0"/>
        <v>29</v>
      </c>
      <c r="F12" s="406">
        <f>IF(ISNUMBER(Datos!N12),Datos!N12," - ")</f>
        <v>29</v>
      </c>
      <c r="G12" s="407">
        <f t="shared" si="1"/>
        <v>29</v>
      </c>
      <c r="H12" s="406">
        <f>IF(ISNUMBER(Datos!O12),Datos!O12," - ")</f>
        <v>13</v>
      </c>
      <c r="I12" s="407">
        <f t="shared" si="2"/>
        <v>13</v>
      </c>
    </row>
    <row r="13" spans="1:9" ht="14.25" thickTop="1" thickBot="1">
      <c r="A13" s="851" t="str">
        <f>Datos!A13</f>
        <v>TOTAL</v>
      </c>
      <c r="B13" s="852">
        <f>Datos!AO13</f>
        <v>2</v>
      </c>
      <c r="C13" s="854">
        <f>Datos!AR13</f>
        <v>1</v>
      </c>
      <c r="D13" s="852">
        <f>SUBTOTAL(9,D9:D12)</f>
        <v>29</v>
      </c>
      <c r="E13" s="853">
        <f t="shared" si="0"/>
        <v>14.5</v>
      </c>
      <c r="F13" s="852">
        <f>SUBTOTAL(9,F9:F12)</f>
        <v>29</v>
      </c>
      <c r="G13" s="853">
        <f t="shared" si="1"/>
        <v>14.5</v>
      </c>
      <c r="H13" s="852">
        <f>SUBTOTAL(9,H9:H12)</f>
        <v>13</v>
      </c>
      <c r="I13" s="853">
        <f>IF(ISNUMBER(H13/B13),H13/B13," - ")</f>
        <v>6.5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9</v>
      </c>
      <c r="E16" s="407">
        <f t="shared" si="3"/>
        <v>9</v>
      </c>
      <c r="F16" s="406">
        <f>IF(ISNUMBER(Datos!N16),Datos!N16," - ")</f>
        <v>122</v>
      </c>
      <c r="G16" s="407">
        <f t="shared" si="4"/>
        <v>122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v>
      </c>
      <c r="G17" s="407">
        <f>IF(ISNUMBER(F17/B17),F17/B17," - ")</f>
        <v>1</v>
      </c>
      <c r="H17" s="406">
        <f>IF(ISNUMBER(Datos!O17),Datos!O17," - ")</f>
        <v>0</v>
      </c>
      <c r="I17" s="407">
        <f t="shared" si="5"/>
        <v>0</v>
      </c>
    </row>
    <row r="18" spans="1:9" ht="14.25" thickTop="1" thickBot="1">
      <c r="A18" s="851" t="str">
        <f>Datos!A18</f>
        <v>TOTAL</v>
      </c>
      <c r="B18" s="852">
        <f>Datos!AO18</f>
        <v>2</v>
      </c>
      <c r="C18" s="854">
        <f>Datos!AR18</f>
        <v>1</v>
      </c>
      <c r="D18" s="852">
        <f>SUBTOTAL(9,D15:D17)</f>
        <v>9</v>
      </c>
      <c r="E18" s="853">
        <f t="shared" si="3"/>
        <v>4.5</v>
      </c>
      <c r="F18" s="852">
        <f>SUBTOTAL(9,F15:F17)</f>
        <v>123</v>
      </c>
      <c r="G18" s="853">
        <f t="shared" si="4"/>
        <v>61.5</v>
      </c>
      <c r="H18" s="852">
        <f>SUBTOTAL(9,H15:H17)</f>
        <v>0</v>
      </c>
      <c r="I18" s="853">
        <f>IF(ISNUMBER(H18/B18),H18/B18," - ")</f>
        <v>0</v>
      </c>
    </row>
    <row r="19" spans="1:9" ht="14.25" thickTop="1" thickBot="1">
      <c r="A19" s="796" t="str">
        <f>Datos!A19</f>
        <v>TOTAL JURISDICCIONES</v>
      </c>
      <c r="B19" s="797">
        <f>Datos!AP19</f>
        <v>1</v>
      </c>
      <c r="C19" s="797">
        <f>Datos!AR19</f>
        <v>1</v>
      </c>
      <c r="D19" s="797">
        <f>SUBTOTAL(9,D8:D18)</f>
        <v>38</v>
      </c>
      <c r="E19" s="798">
        <f>IF(ISNUMBER(D19/B19),D19/B19," - ")</f>
        <v>38</v>
      </c>
      <c r="F19" s="797">
        <f>SUBTOTAL(9,F8:F18)</f>
        <v>152</v>
      </c>
      <c r="G19" s="798">
        <f>IF(ISNUMBER(F19/B19),F19/B19," - ")</f>
        <v>152</v>
      </c>
      <c r="H19" s="797">
        <f>SUBTOTAL(9,H8:H18)</f>
        <v>13</v>
      </c>
      <c r="I19" s="798">
        <f>IF(ISNUMBER(H19/B19),H19/B19," - ")</f>
        <v>13</v>
      </c>
    </row>
    <row r="22" spans="1:9">
      <c r="A22" s="394" t="str">
        <f>Criterios!A4</f>
        <v>Fecha Informe: 07 mar. 2024</v>
      </c>
    </row>
    <row r="27" spans="1:9">
      <c r="A27" s="417"/>
    </row>
  </sheetData>
  <sheetProtection algorithmName="SHA-512" hashValue="bQMSbaSMgfOGTHIN6r4vq6i2knQjlo0RcsVST1NhZTs7tg7mNy76Tb4hgulZg3EvF+92tULfax4OkRiE16sE2Q==" saltValue="GAZCLXFzDyS4YRVulCIu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HUESCA</v>
      </c>
    </row>
    <row r="4" spans="1:4" ht="13.5" thickBot="1">
      <c r="B4" s="394" t="str">
        <f>Criterios!A11 &amp;"  "&amp;Criterios!B11</f>
        <v>Resumenes por Partidos Judiciales  BOLTAÑA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v>
      </c>
      <c r="C12" s="437">
        <f>IF(ISNUMBER(Datos!Q12),Datos!Q12," - ")</f>
        <v>8</v>
      </c>
      <c r="D12" s="411">
        <f>IF(ISNUMBER(Datos!R12),Datos!R12," - ")</f>
        <v>562</v>
      </c>
    </row>
    <row r="13" spans="1:4" ht="14.25" thickTop="1" thickBot="1">
      <c r="A13" s="851" t="str">
        <f>Datos!A13</f>
        <v>TOTAL</v>
      </c>
      <c r="B13" s="852">
        <f>SUBTOTAL(9,B9:B12)</f>
        <v>20</v>
      </c>
      <c r="C13" s="856">
        <f>SUBTOTAL(9,C9:C12)</f>
        <v>8</v>
      </c>
      <c r="D13" s="854">
        <f>SUBTOTAL(9,D9:D12)</f>
        <v>562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3</v>
      </c>
      <c r="D16" s="411">
        <f>IF(ISNUMBER(Datos!R16),Datos!R16," - ")</f>
        <v>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3</v>
      </c>
      <c r="D18" s="854">
        <f>SUBTOTAL(9,D15:D17)</f>
        <v>7</v>
      </c>
    </row>
    <row r="19" spans="1:4" ht="16.5" customHeight="1" thickTop="1" thickBot="1">
      <c r="A19" s="796" t="str">
        <f>Datos!A19</f>
        <v>TOTAL JURISDICCIONES</v>
      </c>
      <c r="B19" s="801">
        <f>SUBTOTAL(9,B8:B18)</f>
        <v>20</v>
      </c>
      <c r="C19" s="802">
        <f>SUBTOTAL(9,C8:C18)</f>
        <v>11</v>
      </c>
      <c r="D19" s="803">
        <f>SUBTOTAL(9,D8:D18)</f>
        <v>569</v>
      </c>
    </row>
    <row r="20" spans="1:4" ht="7.5" customHeight="1"/>
    <row r="21" spans="1:4" ht="6" customHeight="1"/>
    <row r="22" spans="1:4">
      <c r="A22" s="394" t="str">
        <f>Criterios!A4</f>
        <v>Fecha Informe: 07 mar. 2024</v>
      </c>
    </row>
    <row r="27" spans="1:4">
      <c r="A27" s="417"/>
    </row>
  </sheetData>
  <sheetProtection algorithmName="SHA-512" hashValue="VuujvyauL3VVuC0cVt2zFmJDlIZJ5WE4qvnQWzNVHW6gAZeWuKySFGE45AFDHgvtkm/Ed56M8iMieKgAa296Og==" saltValue="59T4meOidBqi0RDkJGYC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HUESCA</v>
      </c>
    </row>
    <row r="4" spans="1:11" ht="10.5" customHeight="1" thickBot="1">
      <c r="B4" s="394" t="str">
        <f>Criterios!A11 &amp;"  "&amp;Criterios!B11</f>
        <v>Resumenes por Partidos Judiciales  BOLTAÑA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0.49777777777777776</v>
      </c>
      <c r="C12" s="459">
        <f>IF(ISNUMBER(
   IF(J_V="SI",(Datos!J12-Datos!T12)/Datos!T12,(Datos!J12+Datos!Z12-(Datos!T12+Datos!AH12))/(Datos!T12+Datos!AH12))
     ),IF(J_V="SI",(Datos!J12-Datos!T12)/Datos!T12,(Datos!J12+Datos!Z12-(Datos!T12+Datos!AH12))/(Datos!T12+Datos!AH12))," - ")</f>
        <v>0.56923076923076921</v>
      </c>
      <c r="D12" s="459">
        <f>IF(ISNUMBER(
   IF(J_V="SI",(Datos!K12-Datos!U12)/Datos!U12,(Datos!K12+Datos!AA12-(Datos!U12+Datos!AI12))/(Datos!U12+Datos!AI12))
     ),IF(J_V="SI",(Datos!K12-Datos!U12)/Datos!U12,(Datos!K12+Datos!AA12-(Datos!U12+Datos!AI12))/(Datos!U12+Datos!AI12))," - ")</f>
        <v>2.7272727272727271</v>
      </c>
      <c r="E12" s="459">
        <f>IF(ISNUMBER(
   IF(J_V="SI",(Datos!L12-Datos!V12)/Datos!V12,(Datos!L12+Datos!AB12-(Datos!V12+Datos!AJ12))/(Datos!V12+Datos!AJ12))
     ),IF(J_V="SI",(Datos!L12-Datos!V12)/Datos!V12,(Datos!L12+Datos!AB12-(Datos!V12+Datos!AJ12))/(Datos!V12+Datos!AJ12))," - ")</f>
        <v>0.22957198443579765</v>
      </c>
      <c r="F12" s="459">
        <f>IF(ISNUMBER((Datos!M12-Datos!W12)/Datos!W12),(Datos!M12-Datos!W12)/Datos!W12," - ")</f>
        <v>1.0714285714285714</v>
      </c>
      <c r="G12" s="460">
        <f>IF(ISNUMBER((Datos!N12-Datos!X12)/Datos!X12),(Datos!N12-Datos!X12)/Datos!X12," - ")</f>
        <v>1.9</v>
      </c>
      <c r="H12" s="458">
        <f>IF(ISNUMBER(((NºAsuntos!G12/NºAsuntos!E12)-Datos!BD12)/Datos!BD12),((NºAsuntos!G12/NºAsuntos!E12)-Datos!BD12)/Datos!BD12," - ")</f>
        <v>1.375222816399287</v>
      </c>
      <c r="I12" s="459">
        <f>IF(ISNUMBER(((NºAsuntos!I12/NºAsuntos!G12)-Datos!BE12)/Datos!BE12),((NºAsuntos!I12/NºAsuntos!G12)-Datos!BE12)/Datos!BE12," - ")</f>
        <v>-0.67011483344405431</v>
      </c>
      <c r="J12" s="464">
        <f>IF(ISNUMBER((('Resol  Asuntos'!D12/NºAsuntos!G12)-Datos!BF12)/Datos!BF12),(('Resol  Asuntos'!D12/NºAsuntos!G12)-Datos!BF12)/Datos!BF12," - ")</f>
        <v>-0.22195121951219512</v>
      </c>
      <c r="K12" s="465">
        <f>IF(ISNUMBER((((NºAsuntos!C12+NºAsuntos!E12)/NºAsuntos!G12)-Datos!BG12)/Datos!BG12),(((NºAsuntos!C12+NºAsuntos!E12)/NºAsuntos!G12)-Datos!BG12)/Datos!BG12," - ")</f>
        <v>-0.59386038687973086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0.49777777777777776</v>
      </c>
      <c r="C13" s="858">
        <f>IF(ISNUMBER(
   IF(J_V="SI",(Datos!J13-Datos!T13)/Datos!T13,(Datos!J13+Datos!Z13-(Datos!T13+Datos!AH13))/(Datos!T13+Datos!AH13))
     ),IF(J_V="SI",(Datos!J13-Datos!T13)/Datos!T13,(Datos!J13+Datos!Z13-(Datos!T13+Datos!AH13))/(Datos!T13+Datos!AH13))," - ")</f>
        <v>0.56923076923076921</v>
      </c>
      <c r="D13" s="858">
        <f>IF(ISNUMBER(
   IF(J_V="SI",(Datos!K13-Datos!U13)/Datos!U13,(Datos!K13+Datos!AA13-(Datos!U13+Datos!AI13))/(Datos!U13+Datos!AI13))
     ),IF(J_V="SI",(Datos!K13-Datos!U13)/Datos!U13,(Datos!K13+Datos!AA13-(Datos!U13+Datos!AI13))/(Datos!U13+Datos!AI13))," - ")</f>
        <v>2.7272727272727271</v>
      </c>
      <c r="E13" s="858">
        <f>IF(ISNUMBER(
   IF(J_V="SI",(Datos!L13-Datos!V13)/Datos!V13,(Datos!L13+Datos!AB13-(Datos!V13+Datos!AJ13))/(Datos!V13+Datos!AJ13))
     ),IF(J_V="SI",(Datos!L13-Datos!V13)/Datos!V13,(Datos!L13+Datos!AB13-(Datos!V13+Datos!AJ13))/(Datos!V13+Datos!AJ13))," - ")</f>
        <v>0.22957198443579765</v>
      </c>
      <c r="F13" s="859">
        <f>IF(ISNUMBER((Datos!M13-Datos!W13)/Datos!W13),(Datos!M13-Datos!W13)/Datos!W13," - ")</f>
        <v>1.0714285714285714</v>
      </c>
      <c r="G13" s="860">
        <f>IF(ISNUMBER((Datos!N13-Datos!X13)/Datos!X13),(Datos!N13-Datos!X13)/Datos!X13," - ")</f>
        <v>1.9</v>
      </c>
      <c r="H13" s="860">
        <f>IF(ISNUMBER(((NºAsuntos!G13/NºAsuntos!E13)-Datos!BD13)/Datos!BD13),((NºAsuntos!G13/NºAsuntos!E13)-Datos!BD13)/Datos!BD13," - ")</f>
        <v>1.375222816399287</v>
      </c>
      <c r="I13" s="860">
        <f>IF(ISNUMBER(((NºAsuntos!I13/NºAsuntos!G13)-Datos!BE13)/Datos!BE13),((NºAsuntos!I13/NºAsuntos!G13)-Datos!BE13)/Datos!BE13," - ")</f>
        <v>-0.67011483344405431</v>
      </c>
      <c r="J13" s="860">
        <f>IF(ISNUMBER((('Resol  Asuntos'!D13/NºAsuntos!G13)-Datos!BF13)/Datos!BF13),(('Resol  Asuntos'!D13/NºAsuntos!G13)-Datos!BF13)/Datos!BF13," - ")</f>
        <v>-0.22195121951219512</v>
      </c>
      <c r="K13" s="860">
        <f>IF(ISNUMBER((((NºAsuntos!C13+NºAsuntos!E13)/NºAsuntos!G13)-Datos!BG13)/Datos!BG13),(((NºAsuntos!C13+NºAsuntos!E13)/NºAsuntos!G13)-Datos!BG13)/Datos!BG13," - ")</f>
        <v>-0.59386038687973086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0.75</v>
      </c>
      <c r="C16" s="459">
        <f>IF(ISNUMBER(
   IF(D_I="SI",(Datos!J16-Datos!T16)/Datos!T16,(Datos!J16+Datos!AD16-(Datos!T16+Datos!AL16))/(Datos!T16+Datos!AL16))
     ),IF(D_I="SI",(Datos!J16-Datos!T16)/Datos!T16,(Datos!J16+Datos!AD16-(Datos!T16+Datos!AL16))/(Datos!T16+Datos!AL16))," - ")</f>
        <v>0.51485148514851486</v>
      </c>
      <c r="D16" s="459">
        <f>IF(ISNUMBER(
   IF(D_I="SI",(Datos!K16-Datos!U16)/Datos!U16,(Datos!K16+Datos!AE16-(Datos!U16+Datos!AM16))/(Datos!U16+Datos!AM16))
     ),IF(D_I="SI",(Datos!K16-Datos!U16)/Datos!U16,(Datos!K16+Datos!AE16-(Datos!U16+Datos!AM16))/(Datos!U16+Datos!AM16))," - ")</f>
        <v>0.87058823529411766</v>
      </c>
      <c r="E16" s="459">
        <f>IF(ISNUMBER(
   IF(D_I="SI",(Datos!L16-Datos!V16)/Datos!V16,(Datos!L16+Datos!AF16-(Datos!V16+Datos!AN16))/(Datos!V16+Datos!AN16))
     ),IF(D_I="SI",(Datos!L16-Datos!V16)/Datos!V16,(Datos!L16+Datos!AF16-(Datos!V16+Datos!AN16))/(Datos!V16+Datos!AN16))," - ")</f>
        <v>0.32500000000000001</v>
      </c>
      <c r="F16" s="459">
        <f>IF(ISNUMBER((Datos!M16-Datos!W16)/Datos!W16),(Datos!M16-Datos!W16)/Datos!W16," - ")</f>
        <v>-0.25</v>
      </c>
      <c r="G16" s="460">
        <f>IF(ISNUMBER((Datos!N16-Datos!X16)/Datos!X16),(Datos!N16-Datos!X16)/Datos!X16," - ")</f>
        <v>0.90625</v>
      </c>
      <c r="H16" s="458">
        <f>IF(ISNUMBER(((NºAsuntos!G16/NºAsuntos!E16)-Datos!BD16)/Datos!BD16),((NºAsuntos!G16/NºAsuntos!E16)-Datos!BD16)/Datos!BD16," - ")</f>
        <v>0.23483275663206474</v>
      </c>
      <c r="I16" s="459">
        <f>IF(ISNUMBER(((NºAsuntos!I16/NºAsuntos!G16)-Datos!BE16)/Datos!BE16),((NºAsuntos!I16/NºAsuntos!G16)-Datos!BE16)/Datos!BE16," - ")</f>
        <v>-0.29166666666666669</v>
      </c>
      <c r="J16" s="464">
        <f>IF(ISNUMBER((('Resol  Asuntos'!D16/NºAsuntos!G16)-Datos!BF16)/Datos!BF16),(('Resol  Asuntos'!D16/NºAsuntos!G16)-Datos!BF16)/Datos!BF16," - ")</f>
        <v>-0.59905660377358494</v>
      </c>
      <c r="K16" s="465">
        <f>IF(ISNUMBER((((NºAsuntos!C16+NºAsuntos!E16)/NºAsuntos!G16)-Datos!BG16)/Datos!BG16),(((NºAsuntos!C16+NºAsuntos!E16)/NºAsuntos!G16)-Datos!BG16)/Datos!BG16," - ")</f>
        <v>-0.14141414141414138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0.23809523809523808</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1</v>
      </c>
      <c r="E17" s="459">
        <f>IF(ISNUMBER(
   IF(D_I="SI",(Datos!L17-Datos!V17)/Datos!V17,(Datos!L17+Datos!AF17-(Datos!V17+Datos!AN17))/(Datos!V17+Datos!AN17))
     ),IF(D_I="SI",(Datos!L17-Datos!V17)/Datos!V17,(Datos!L17+Datos!AF17-(Datos!V17+Datos!AN17))/(Datos!V17+Datos!AN17))," - ")</f>
        <v>0.13043478260869565</v>
      </c>
      <c r="F17" s="459" t="str">
        <f>IF(ISNUMBER((Datos!M17-Datos!W17)/Datos!W17),(Datos!M17-Datos!W17)/Datos!W17," - ")</f>
        <v xml:space="preserve"> - </v>
      </c>
      <c r="G17" s="460">
        <f>IF(ISNUMBER((Datos!N17-Datos!X17)/Datos!X17),(Datos!N17-Datos!X17)/Datos!X17," - ")</f>
        <v>-0.66666666666666663</v>
      </c>
      <c r="H17" s="458">
        <f>IF(ISNUMBER(((NºAsuntos!G17/NºAsuntos!E17)-Datos!BD17)/Datos!BD17),((NºAsuntos!G17/NºAsuntos!E17)-Datos!BD17)/Datos!BD17," - ")</f>
        <v>1</v>
      </c>
      <c r="I17" s="459">
        <f>IF(ISNUMBER(((NºAsuntos!I17/NºAsuntos!G17)-Datos!BE17)/Datos!BE17),((NºAsuntos!I17/NºAsuntos!G17)-Datos!BE17)/Datos!BE17," - ")</f>
        <v>-0.43478260869565216</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0.62352941176470589</v>
      </c>
      <c r="C18" s="858">
        <f>IF(ISNUMBER(
   IF(Criterios!B14="SI",(Datos!J18-Datos!T18)/Datos!T18,(Datos!J18+Datos!AD18-(Datos!T18+Datos!AL18))/(Datos!T18+Datos!AL18))
     ),IF(Criterios!B14="SI",(Datos!J18-Datos!T18)/Datos!T18,(Datos!J18+Datos!AD18-(Datos!T18+Datos!AL18))/(Datos!T18+Datos!AL18))," - ")</f>
        <v>0.49523809523809526</v>
      </c>
      <c r="D18" s="858">
        <f>IF(ISNUMBER(
   IF(Criterios!B14="SI",(Datos!K18-Datos!U18)/Datos!U18,(Datos!K18+Datos!AE18-(Datos!U18+Datos!AM18))/(Datos!U18+Datos!AM18))
     ),IF(Criterios!B14="SI",(Datos!K18-Datos!U18)/Datos!U18,(Datos!K18+Datos!AE18-(Datos!U18+Datos!AM18))/(Datos!U18+Datos!AM18))," - ")</f>
        <v>0.87356321839080464</v>
      </c>
      <c r="E18" s="858">
        <f>IF(ISNUMBER(
   IF(Criterios!B14="SI",(Datos!L18-Datos!V18)/Datos!V18,(Datos!L18+Datos!AF18-(Datos!V18+Datos!AN18))/(Datos!V18+Datos!AN18))
     ),IF(Criterios!B14="SI",(Datos!L18-Datos!V18)/Datos!V18,(Datos!L18+Datos!AF18-(Datos!V18+Datos!AN18))/(Datos!V18+Datos!AN18))," - ")</f>
        <v>0.28155339805825241</v>
      </c>
      <c r="F18" s="859">
        <f>IF(ISNUMBER((Datos!M18-Datos!W18)/Datos!W18),(Datos!M18-Datos!W18)/Datos!W18," - ")</f>
        <v>-0.25</v>
      </c>
      <c r="G18" s="860">
        <f>IF(ISNUMBER((Datos!N18-Datos!X18)/Datos!X18),(Datos!N18-Datos!X18)/Datos!X18," - ")</f>
        <v>0.83582089552238803</v>
      </c>
      <c r="H18" s="860">
        <f>IF(ISNUMBER(((NºAsuntos!G18/NºAsuntos!E18)-Datos!BD18)/Datos!BD18),((NºAsuntos!G18/NºAsuntos!E18)-Datos!BD18)/Datos!BD18," - ")</f>
        <v>0.2530199868218756</v>
      </c>
      <c r="I18" s="860">
        <f>IF(ISNUMBER(((NºAsuntos!I18/NºAsuntos!G18)-Datos!BE18)/Datos!BE18),((NºAsuntos!I18/NºAsuntos!G18)-Datos!BE18)/Datos!BE18," - ")</f>
        <v>-0.31598070164988984</v>
      </c>
      <c r="J18" s="860">
        <f>IF(ISNUMBER((('Resol  Asuntos'!D18/NºAsuntos!G18)-Datos!BF18)/Datos!BF18),(('Resol  Asuntos'!D18/NºAsuntos!G18)-Datos!BF18)/Datos!BF18," - ")</f>
        <v>-0.59969325153374231</v>
      </c>
      <c r="K18" s="860">
        <f>IF(ISNUMBER((((NºAsuntos!C18+NºAsuntos!E18)/NºAsuntos!G18)-Datos!BG18)/Datos!BG18),(((NºAsuntos!C18+NºAsuntos!E18)/NºAsuntos!G18)-Datos!BG18)/Datos!BG18," - ")</f>
        <v>-0.17129480142072984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0.532258064516129</v>
      </c>
      <c r="C19" s="805">
        <f>IF(ISNUMBER(
   IF(J_V="SI",(Datos!J19-Datos!T19)/Datos!T19,(Datos!J19+Datos!Z19-(Datos!T19+Datos!AH19))/(Datos!T19+Datos!AH19))
     ),IF(J_V="SI",(Datos!J19-Datos!T19)/Datos!T19,(Datos!J19+Datos!Z19-(Datos!T19+Datos!AH19))/(Datos!T19+Datos!AH19))," - ")</f>
        <v>0.52352941176470591</v>
      </c>
      <c r="D19" s="805">
        <f>IF(ISNUMBER(
   IF(J_V="SI",(Datos!K19-Datos!U19)/Datos!U19,(Datos!K19+Datos!AA19-(Datos!U19+Datos!AI19))/(Datos!U19+Datos!AI19))
     ),IF(J_V="SI",(Datos!K19-Datos!U19)/Datos!U19,(Datos!K19+Datos!AA19-(Datos!U19+Datos!AI19))/(Datos!U19+Datos!AI19))," - ")</f>
        <v>1.3833333333333333</v>
      </c>
      <c r="E19" s="805">
        <f>IF(ISNUMBER(
   IF(J_V="SI",(Datos!L19-Datos!V19)/Datos!V19,(Datos!L19+Datos!AB19-(Datos!V19+Datos!AJ19))/(Datos!V19+Datos!AJ19))
     ),IF(J_V="SI",(Datos!L19-Datos!V19)/Datos!V19,(Datos!L19+Datos!AB19-(Datos!V19+Datos!AJ19))/(Datos!V19+Datos!AJ19))," - ")</f>
        <v>0.24444444444444444</v>
      </c>
      <c r="F19" s="806">
        <f>IF(ISNUMBER((Datos!M19-Datos!W19)/Datos!W19),(Datos!M19-Datos!W19)/Datos!W19," - ")</f>
        <v>0.46153846153846156</v>
      </c>
      <c r="G19" s="807">
        <f>IF(ISNUMBER((Datos!N19-Datos!X19)/Datos!X19),(Datos!N19-Datos!X19)/Datos!X19," - ")</f>
        <v>0.97402597402597402</v>
      </c>
      <c r="H19" s="808">
        <f>IF(ISNUMBER((Tasas!B19-Datos!BD19)/Datos!BD19),(Tasas!B19-Datos!BD19)/Datos!BD19," - ")</f>
        <v>0.5643500643500643</v>
      </c>
      <c r="I19" s="809">
        <f>IF(ISNUMBER((Tasas!C19-Datos!BE19)/Datos!BE19),(Tasas!C19-Datos!BE19)/Datos!BE19," - ")</f>
        <v>-0.47785547785547783</v>
      </c>
      <c r="J19" s="810">
        <f>IF(ISNUMBER((Tasas!D19-Datos!BF19)/Datos!BF19),(Tasas!D19-Datos!BF19)/Datos!BF19," - ")</f>
        <v>-0.27527018436109341</v>
      </c>
      <c r="K19" s="810">
        <f>IF(ISNUMBER((Tasas!E19-Datos!BG19)/Datos!BG19),(Tasas!E19-Datos!BG19)/Datos!BG19," - ")</f>
        <v>-0.35839160839160844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VOwvGcUf/YwYhYVuRBd7I3hdHrJrefcoBd+P4AlxTX9d2HMQiCsKkFyGZkkOWTcW33bbqO5mw12wQ5FkrUpw==" saltValue="YTyDr1nxpfmc89BrvLL2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HUESCA</v>
      </c>
    </row>
    <row r="4" spans="1:7" ht="11.25" customHeight="1" thickBot="1">
      <c r="B4" s="394" t="str">
        <f>Criterios!A11 &amp;"  "&amp;Criterios!B11</f>
        <v>Resumenes por Partidos Judiciales  BOLTAÑA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1.2058823529411764</v>
      </c>
      <c r="C12" s="446">
        <f>IF(ISNUMBER(NºAsuntos!I12/NºAsuntos!G12),NºAsuntos!I12/NºAsuntos!G12," - ")</f>
        <v>2.5691056910569108</v>
      </c>
      <c r="D12" s="447">
        <f>IF(ISNUMBER('Resol  Asuntos'!D12/NºAsuntos!G12),'Resol  Asuntos'!D12/NºAsuntos!G12," - ")</f>
        <v>0.23577235772357724</v>
      </c>
      <c r="E12" s="448">
        <f>IF(ISNUMBER((NºAsuntos!C12+NºAsuntos!E12)/NºAsuntos!G12),(NºAsuntos!C12+NºAsuntos!E12)/NºAsuntos!G12," - ")</f>
        <v>3.5691056910569108</v>
      </c>
      <c r="G12" s="466"/>
    </row>
    <row r="13" spans="1:7" ht="14.25" thickTop="1" thickBot="1">
      <c r="A13" s="851" t="str">
        <f>Datos!A13</f>
        <v>TOTAL</v>
      </c>
      <c r="B13" s="861">
        <f>IF(ISNUMBER(NºAsuntos!G13/NºAsuntos!E13),NºAsuntos!G13/NºAsuntos!E13," - ")</f>
        <v>1.2058823529411764</v>
      </c>
      <c r="C13" s="862">
        <f>IF(ISNUMBER(NºAsuntos!I13/NºAsuntos!G13),NºAsuntos!I13/NºAsuntos!G13," - ")</f>
        <v>2.5691056910569108</v>
      </c>
      <c r="D13" s="863">
        <f>IF(ISNUMBER('Resol  Asuntos'!D13/NºAsuntos!G13),'Resol  Asuntos'!D13/NºAsuntos!G13," - ")</f>
        <v>0.23577235772357724</v>
      </c>
      <c r="E13" s="864">
        <f>IF(ISNUMBER((NºAsuntos!C13+NºAsuntos!E13)/NºAsuntos!G13),(NºAsuntos!C13+NºAsuntos!E13)/NºAsuntos!G13," - ")</f>
        <v>3.5691056910569108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1.0392156862745099</v>
      </c>
      <c r="C16" s="446">
        <f>IF(ISNUMBER(NºAsuntos!I16/NºAsuntos!G16),NºAsuntos!I16/NºAsuntos!G16," - ")</f>
        <v>0.66666666666666663</v>
      </c>
      <c r="D16" s="447">
        <f>IF(ISNUMBER('Resol  Asuntos'!D16/NºAsuntos!G16),'Resol  Asuntos'!D16/NºAsuntos!G16," - ")</f>
        <v>5.6603773584905662E-2</v>
      </c>
      <c r="E16" s="448">
        <f>IF(ISNUMBER((NºAsuntos!C16+NºAsuntos!E16)/NºAsuntos!G16),(NºAsuntos!C16+NºAsuntos!E16)/NºAsuntos!G16," - ")</f>
        <v>1.6666666666666667</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6.5</v>
      </c>
      <c r="D17" s="447">
        <f>IF(ISNUMBER('Resol  Asuntos'!D17/NºAsuntos!G17),'Resol  Asuntos'!D17/NºAsuntos!G17," - ")</f>
        <v>0</v>
      </c>
      <c r="E17" s="448">
        <f>IF(ISNUMBER((NºAsuntos!C17+NºAsuntos!E17)/NºAsuntos!G17),(NºAsuntos!C17+NºAsuntos!E17)/NºAsuntos!G17," - ")</f>
        <v>7.5</v>
      </c>
      <c r="G17" s="466"/>
    </row>
    <row r="18" spans="1:7" ht="14.25" thickTop="1" thickBot="1">
      <c r="A18" s="851" t="str">
        <f>Datos!A18</f>
        <v>TOTAL</v>
      </c>
      <c r="B18" s="861">
        <f>IF(ISNUMBER(NºAsuntos!G18/NºAsuntos!E18),NºAsuntos!G18/NºAsuntos!E18," - ")</f>
        <v>1.0382165605095541</v>
      </c>
      <c r="C18" s="862">
        <f>IF(ISNUMBER(NºAsuntos!I18/NºAsuntos!G18),NºAsuntos!I18/NºAsuntos!G18," - ")</f>
        <v>0.80981595092024539</v>
      </c>
      <c r="D18" s="865">
        <f>IF(ISNUMBER('Resol  Asuntos'!D18/NºAsuntos!G18),'Resol  Asuntos'!D18/NºAsuntos!G18," - ")</f>
        <v>5.5214723926380369E-2</v>
      </c>
      <c r="E18" s="864">
        <f>IF(ISNUMBER((NºAsuntos!C18+NºAsuntos!E18)/NºAsuntos!G18),(NºAsuntos!C18+NºAsuntos!E18)/NºAsuntos!G18," - ")</f>
        <v>1.8098159509202454</v>
      </c>
      <c r="G18" s="466"/>
    </row>
    <row r="19" spans="1:7" ht="15.75" customHeight="1" thickTop="1" thickBot="1">
      <c r="A19" s="796" t="str">
        <f>Datos!A19</f>
        <v>TOTAL JURISDICCIONES</v>
      </c>
      <c r="B19" s="811">
        <f>IF(ISNUMBER(NºAsuntos!G19/NºAsuntos!E19),NºAsuntos!G19/NºAsuntos!E19," - ")</f>
        <v>1.1042471042471043</v>
      </c>
      <c r="C19" s="812">
        <f>IF(ISNUMBER(NºAsuntos!I19/NºAsuntos!G19),NºAsuntos!I19/NºAsuntos!G19," - ")</f>
        <v>1.5664335664335665</v>
      </c>
      <c r="D19" s="813">
        <f>IF(ISNUMBER('Resol  Asuntos'!D19/NºAsuntos!G19),'Resol  Asuntos'!D19/NºAsuntos!G19," - ")</f>
        <v>0.13286713286713286</v>
      </c>
      <c r="E19" s="814">
        <f>IF(ISNUMBER((NºAsuntos!C19+NºAsuntos!E19)/NºAsuntos!G19),(NºAsuntos!C19+NºAsuntos!E19)/NºAsuntos!G19," - ")</f>
        <v>2.5664335664335662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7wAwmmTG+hGC2Z05PZlBKGkFYiXj01q22O1GF+PIt4rE9+NrX1PZMvQ6pOB8sOm7bCLrQFucDWEVUelVB6w1g==" saltValue="jzT6Py+wlqvxKaeKLq3U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HUESCA</v>
      </c>
      <c r="N2" s="265" t="str">
        <f>Criterios!A11 &amp;"  "&amp;Criterios!B11</f>
        <v>Resumenes por Partidos Judiciales  BOLTAÑA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v>
      </c>
      <c r="Y12" s="337">
        <f t="shared" si="0"/>
        <v>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562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v>
      </c>
      <c r="AJ12" s="232" t="str">
        <f>IF(ISNUMBER(Datos!BW12),Datos!BW12," - ")</f>
        <v xml:space="preserve"> - </v>
      </c>
      <c r="AK12" s="231" t="str">
        <f>IF(ISNUMBER(Datos!BX12),Datos!BX12," - ")</f>
        <v xml:space="preserve"> - </v>
      </c>
      <c r="AL12" s="246">
        <f>IF(ISNUMBER(NºAsuntos!G12/NºAsuntos!E12),NºAsuntos!G12/NºAsuntos!E12," - ")</f>
        <v>1.2058823529411764</v>
      </c>
      <c r="AM12" s="263">
        <f>IF(ISNUMBER(((NºAsuntos!I12/NºAsuntos!G12)*11)/factor_trimestre),((NºAsuntos!I12/NºAsuntos!G12)*11)/factor_trimestre," - ")</f>
        <v>7.7073170731707323</v>
      </c>
      <c r="AN12" s="247">
        <f>IF(ISNUMBER('Resol  Asuntos'!D12/NºAsuntos!G12),'Resol  Asuntos'!D12/NºAsuntos!G12," - ")</f>
        <v>0.23577235772357724</v>
      </c>
      <c r="AO12" s="248">
        <f>IF(ISNUMBER((NºAsuntos!C12+NºAsuntos!E12)/NºAsuntos!G12),(NºAsuntos!C12+NºAsuntos!E12)/NºAsuntos!G12," - ")</f>
        <v>3.5691056910569108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8</v>
      </c>
      <c r="Y13" s="871">
        <f t="shared" si="4"/>
        <v>8</v>
      </c>
      <c r="Z13" s="871">
        <f t="shared" si="4"/>
        <v>0</v>
      </c>
      <c r="AA13" s="871">
        <f t="shared" si="4"/>
        <v>0</v>
      </c>
      <c r="AB13" s="871">
        <f t="shared" si="4"/>
        <v>562</v>
      </c>
      <c r="AC13" s="871">
        <f t="shared" si="4"/>
        <v>0</v>
      </c>
      <c r="AD13" s="871">
        <f t="shared" si="4"/>
        <v>0</v>
      </c>
      <c r="AE13" s="875">
        <f t="shared" si="4"/>
        <v>0</v>
      </c>
      <c r="AF13" s="868">
        <f t="shared" si="4"/>
        <v>0</v>
      </c>
      <c r="AG13" s="876">
        <f t="shared" si="4"/>
        <v>0</v>
      </c>
      <c r="AH13" s="873">
        <f t="shared" si="4"/>
        <v>0</v>
      </c>
      <c r="AI13" s="868">
        <f t="shared" si="4"/>
        <v>29</v>
      </c>
      <c r="AJ13" s="870">
        <f t="shared" si="4"/>
        <v>0</v>
      </c>
      <c r="AK13" s="873">
        <f>SUBTOTAL(9,AK9:AK12)</f>
        <v>0</v>
      </c>
      <c r="AL13" s="877">
        <f>IF(ISNUMBER(NºAsuntos!G13/NºAsuntos!E13),NºAsuntos!G13/NºAsuntos!E13," - ")</f>
        <v>1.2058823529411764</v>
      </c>
      <c r="AM13" s="877">
        <f>IF(ISNUMBER(((NºAsuntos!I13/NºAsuntos!G13)*11)/factor_trimestre),((NºAsuntos!I13/NºAsuntos!G13)*11)/factor_trimestre," - ")</f>
        <v>7.7073170731707323</v>
      </c>
      <c r="AN13" s="878">
        <f>IF(ISNUMBER('Resol  Asuntos'!D13/NºAsuntos!G13),'Resol  Asuntos'!D13/NºAsuntos!G13," - ")</f>
        <v>0.23577235772357724</v>
      </c>
      <c r="AO13" s="879">
        <f>IF(ISNUMBER((NºAsuntos!C13+NºAsuntos!E13)/NºAsuntos!G13),(NºAsuntos!C13+NºAsuntos!E13)/NºAsuntos!G13," - ")</f>
        <v>3.5691056910569108</v>
      </c>
      <c r="AP13" s="880" t="str">
        <f t="shared" si="2"/>
        <v xml:space="preserve"> - </v>
      </c>
      <c r="AQ13" s="880" t="str">
        <f>IF(ISNUMBER((H13-W13+K13)/(F13)),(H13-W13+K13)/(F13)," - ")</f>
        <v xml:space="preserve"> - </v>
      </c>
      <c r="AR13" s="881">
        <f>IF(ISNUMBER((Datos!P13-Datos!Q13)/(Datos!R13-Datos!P13+Datos!Q13)),(Datos!P13-Datos!Q13)/(Datos!R13-Datos!P13+Datos!Q13)," - ")</f>
        <v>2.181818181818182E-2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112</v>
      </c>
      <c r="G16" s="336">
        <f>IF(ISNUMBER(IF(D_I="SI",Datos!I16,Datos!I16+Datos!AC16)),IF(D_I="SI",Datos!I16,Datos!I16+Datos!AC16)," - ")</f>
        <v>112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159</v>
      </c>
      <c r="X16" s="229">
        <f>IF(ISNUMBER(Datos!Q16),Datos!Q16," - ")</f>
        <v>3</v>
      </c>
      <c r="Y16" s="337">
        <f t="shared" ref="Y16:Y17" si="7">SUM(W16:X16)</f>
        <v>162</v>
      </c>
      <c r="Z16" s="338" t="str">
        <f>IF(ISNUMBER(Datos!CC16),Datos!CC16," - ")</f>
        <v xml:space="preserve"> - </v>
      </c>
      <c r="AA16" s="335">
        <f>IF(ISNUMBER(IF(D_I="SI",Datos!L16,Datos!L16+Datos!AF16)),IF(D_I="SI",Datos!L16,Datos!L16+Datos!AF16)," - ")</f>
        <v>106</v>
      </c>
      <c r="AB16" s="337">
        <f>IF(ISNUMBER(Datos!R16),Datos!R16," - ")</f>
        <v>7</v>
      </c>
      <c r="AC16" s="337">
        <f t="shared" si="6"/>
        <v>113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v>
      </c>
      <c r="AJ16" s="234" t="str">
        <f>IF(ISNUMBER(Datos!BW16),Datos!BW16," - ")</f>
        <v xml:space="preserve"> - </v>
      </c>
      <c r="AK16" s="235" t="str">
        <f>IF(ISNUMBER(Datos!BX16),Datos!BX16," - ")</f>
        <v xml:space="preserve"> - </v>
      </c>
      <c r="AL16" s="246">
        <f>IF(ISNUMBER(NºAsuntos!G16/NºAsuntos!E16),NºAsuntos!G16/NºAsuntos!E16," - ")</f>
        <v>1.0392156862745099</v>
      </c>
      <c r="AM16" s="263">
        <f>IF(ISNUMBER(((NºAsuntos!I16/NºAsuntos!G16)*11)/factor_trimestre),((NºAsuntos!I16/NºAsuntos!G16)*11)/factor_trimestre," - ")</f>
        <v>2</v>
      </c>
      <c r="AN16" s="247">
        <f>IF(ISNUMBER('Resol  Asuntos'!D16/NºAsuntos!G16),'Resol  Asuntos'!D16/NºAsuntos!G16," - ")</f>
        <v>5.6603773584905662E-2</v>
      </c>
      <c r="AO16" s="248">
        <f>IF(ISNUMBER((NºAsuntos!C16+NºAsuntos!E16)/NºAsuntos!G16),(NºAsuntos!C16+NºAsuntos!E16)/NºAsuntos!G16," - ")</f>
        <v>1.6666666666666667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v>
      </c>
      <c r="X17" s="229">
        <f>IF(ISNUMBER(Datos!Q17),Datos!Q17," - ")</f>
        <v>0</v>
      </c>
      <c r="Y17" s="337">
        <f t="shared" si="7"/>
        <v>4</v>
      </c>
      <c r="Z17" s="338" t="str">
        <f>IF(ISNUMBER(Datos!CC17),Datos!CC17," - ")</f>
        <v xml:space="preserve"> - </v>
      </c>
      <c r="AA17" s="335">
        <f>IF(ISNUMBER(Datos!L17),Datos!L17,"-")</f>
        <v>26</v>
      </c>
      <c r="AB17" s="337">
        <f>IF(ISNUMBER(Datos!R17),Datos!R17," - ")</f>
        <v>0</v>
      </c>
      <c r="AC17" s="337">
        <f t="shared" si="6"/>
        <v>26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19.5</v>
      </c>
      <c r="AN17" s="247">
        <f>IF(ISNUMBER('Resol  Asuntos'!D17/NºAsuntos!G17),'Resol  Asuntos'!D17/NºAsuntos!G17," - ")</f>
        <v>0</v>
      </c>
      <c r="AO17" s="248">
        <f>IF(ISNUMBER((NºAsuntos!C17+NºAsuntos!E17)/NºAsuntos!G17),(NºAsuntos!C17+NºAsuntos!E17)/NºAsuntos!G17," - ")</f>
        <v>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112</v>
      </c>
      <c r="G18" s="869">
        <f>SUBTOTAL(9,G15:G17)</f>
        <v>138</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163</v>
      </c>
      <c r="X18" s="870">
        <f t="shared" si="11"/>
        <v>3</v>
      </c>
      <c r="Y18" s="871">
        <f t="shared" si="11"/>
        <v>166</v>
      </c>
      <c r="Z18" s="871">
        <f t="shared" si="11"/>
        <v>0</v>
      </c>
      <c r="AA18" s="871">
        <f t="shared" si="11"/>
        <v>132</v>
      </c>
      <c r="AB18" s="871">
        <f t="shared" si="11"/>
        <v>7</v>
      </c>
      <c r="AC18" s="871">
        <f t="shared" si="11"/>
        <v>139</v>
      </c>
      <c r="AD18" s="871">
        <f t="shared" si="11"/>
        <v>0</v>
      </c>
      <c r="AE18" s="875">
        <f t="shared" si="11"/>
        <v>0</v>
      </c>
      <c r="AF18" s="868">
        <f t="shared" si="11"/>
        <v>0</v>
      </c>
      <c r="AG18" s="876">
        <f t="shared" si="11"/>
        <v>0</v>
      </c>
      <c r="AH18" s="873">
        <f t="shared" si="11"/>
        <v>0</v>
      </c>
      <c r="AI18" s="868">
        <f t="shared" si="11"/>
        <v>9</v>
      </c>
      <c r="AJ18" s="870">
        <f t="shared" si="11"/>
        <v>0</v>
      </c>
      <c r="AK18" s="873">
        <f t="shared" si="11"/>
        <v>0</v>
      </c>
      <c r="AL18" s="877">
        <f>IF(ISNUMBER(NºAsuntos!G18/NºAsuntos!E18),NºAsuntos!G18/NºAsuntos!E18," - ")</f>
        <v>1.0382165605095541</v>
      </c>
      <c r="AM18" s="877">
        <f>IF(ISNUMBER(((NºAsuntos!I18/NºAsuntos!G18)*11)/factor_trimestre),((NºAsuntos!I18/NºAsuntos!G18)*11)/factor_trimestre," - ")</f>
        <v>2.4294478527607364</v>
      </c>
      <c r="AN18" s="878">
        <f>IF(ISNUMBER('Resol  Asuntos'!D18/NºAsuntos!G18),'Resol  Asuntos'!D18/NºAsuntos!G18," - ")</f>
        <v>5.5214723926380369E-2</v>
      </c>
      <c r="AO18" s="879">
        <f>IF(ISNUMBER((NºAsuntos!C18+NºAsuntos!E18)/NºAsuntos!G18),(NºAsuntos!C18+NºAsuntos!E18)/NºAsuntos!G18," - ")</f>
        <v>1.8098159509202454</v>
      </c>
      <c r="AP18" s="880" t="str">
        <f t="shared" si="2"/>
        <v xml:space="preserve"> - </v>
      </c>
      <c r="AQ18" s="880">
        <f>IF(ISNUMBER((H18-W18+K18)/(F18)),(H18-W18+K18)/(F18)," - ")</f>
        <v>-1.4553571428571428</v>
      </c>
      <c r="AR18" s="881">
        <f>IF(ISNUMBER((Datos!P18-Datos!Q18)/(Datos!R18-Datos!P18+Datos!Q18)),(Datos!P18-Datos!Q18)/(Datos!R18-Datos!P18+Datos!Q18)," - ")</f>
        <v>-0.3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112</v>
      </c>
      <c r="G19" s="824">
        <f t="shared" si="13"/>
        <v>138</v>
      </c>
      <c r="H19" s="823">
        <f t="shared" si="13"/>
        <v>0</v>
      </c>
      <c r="I19" s="825">
        <f t="shared" si="13"/>
        <v>0</v>
      </c>
      <c r="J19" s="825">
        <f t="shared" si="13"/>
        <v>0</v>
      </c>
      <c r="K19" s="884">
        <f t="shared" si="13"/>
        <v>0</v>
      </c>
      <c r="L19" s="825">
        <f t="shared" si="13"/>
        <v>20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163</v>
      </c>
      <c r="X19" s="824">
        <f t="shared" si="14"/>
        <v>11</v>
      </c>
      <c r="Y19" s="831">
        <f t="shared" si="14"/>
        <v>174</v>
      </c>
      <c r="Z19" s="831">
        <f t="shared" si="14"/>
        <v>0</v>
      </c>
      <c r="AA19" s="831">
        <f t="shared" si="14"/>
        <v>132</v>
      </c>
      <c r="AB19" s="831">
        <f t="shared" si="14"/>
        <v>569</v>
      </c>
      <c r="AC19" s="831">
        <f t="shared" si="14"/>
        <v>139</v>
      </c>
      <c r="AD19" s="831">
        <f t="shared" si="14"/>
        <v>0</v>
      </c>
      <c r="AE19" s="833">
        <f t="shared" si="14"/>
        <v>0</v>
      </c>
      <c r="AF19" s="834">
        <f t="shared" si="14"/>
        <v>0</v>
      </c>
      <c r="AG19" s="835">
        <f t="shared" si="14"/>
        <v>0</v>
      </c>
      <c r="AH19" s="833">
        <f t="shared" si="14"/>
        <v>0</v>
      </c>
      <c r="AI19" s="823">
        <f t="shared" si="14"/>
        <v>38</v>
      </c>
      <c r="AJ19" s="823">
        <f t="shared" si="14"/>
        <v>0</v>
      </c>
      <c r="AK19" s="833">
        <f t="shared" si="14"/>
        <v>0</v>
      </c>
      <c r="AL19" s="887">
        <f>IF(ISNUMBER(NºAsuntos!G19/NºAsuntos!E19),NºAsuntos!G19/NºAsuntos!E19," - ")</f>
        <v>1.1042471042471043</v>
      </c>
      <c r="AM19" s="888">
        <f>IF(ISNUMBER(((NºAsuntos!I19/NºAsuntos!G19)*11)/factor_trimestre),((NºAsuntos!I19/NºAsuntos!G19)*11)/factor_trimestre," - ")</f>
        <v>4.6993006993006992</v>
      </c>
      <c r="AN19" s="888">
        <f>IF(ISNUMBER('Resol  Asuntos'!D19/NºAsuntos!G19),'Resol  Asuntos'!D19/NºAsuntos!G19," - ")</f>
        <v>0.13286713286713286</v>
      </c>
      <c r="AO19" s="889">
        <f>IF(ISNUMBER((NºAsuntos!C19+NºAsuntos!E19)/NºAsuntos!G19),(NºAsuntos!C19+NºAsuntos!E19)/NºAsuntos!G19," - ")</f>
        <v>2.5664335664335662</v>
      </c>
      <c r="AP19" s="890" t="str">
        <f t="shared" si="2"/>
        <v xml:space="preserve"> - </v>
      </c>
      <c r="AQ19" s="891">
        <f>IF(OR(ISNUMBER(FIND("01",Criterios!A8,1)),ISNUMBER(FIND("02",Criterios!A8,1)),ISNUMBER(FIND("03",Criterios!A8,1)),ISNUMBER(FIND("04",Criterios!A8,1))),(I19-W19+K19)/(F19-K19),(H19-W19+K19)/(F19-K19))</f>
        <v>-1.4553571428571428</v>
      </c>
      <c r="AR19" s="892">
        <f>IF(ISNUMBER((Datos!P19-Datos!Q19)/(Datos!R19-Datos!P19+Datos!Q19)),(Datos!P19-Datos!Q19)/(Datos!R19-Datos!P19+Datos!Q19)," - ")</f>
        <v>1.607142857142857E-2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64.663230149238089</v>
      </c>
      <c r="G21" s="256">
        <f>IF(ISNUMBER(STDEV(G8:G18)),STDEV(G8:G18),"-")</f>
        <v>65.247222163092886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87.479711933682083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13.276545735494103</v>
      </c>
      <c r="AJ21" s="255">
        <f t="shared" si="18"/>
        <v>0</v>
      </c>
      <c r="AK21" s="257">
        <f t="shared" si="18"/>
        <v>0</v>
      </c>
      <c r="AL21" s="252">
        <f t="shared" si="18"/>
        <v>9.9888350612984081E-2</v>
      </c>
      <c r="AM21" s="253">
        <f t="shared" si="18"/>
        <v>7.0598571538602375</v>
      </c>
      <c r="AN21" s="253">
        <f t="shared" si="18"/>
        <v>0.1110938056427401</v>
      </c>
      <c r="AO21" s="254">
        <f t="shared" si="18"/>
        <v>2.3532857179534128</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omFeMFPTkpWZPl5b7T7I947dOQinqqM2sd0Yxmvqbt5xu2VvtsJ8Kw4yXIwiW0onc500asxQmX4z7JjP0FBCA==" saltValue="HR6XZ0Ij32etMAAzA0iH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HUESCA</v>
      </c>
      <c r="E3" s="266"/>
    </row>
    <row r="4" spans="2:20" ht="17.25" customHeight="1" thickBot="1">
      <c r="D4" s="265" t="str">
        <f>Criterios!A11 &amp;"  "&amp;Criterios!B11</f>
        <v>Resumenes por Partidos Judiciales  BOLTAÑA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1.0714285714285714</v>
      </c>
      <c r="I12" s="353">
        <f>IF(ISNUMBER((Tasas!C12-Datos!BE12)/Datos!BE12),(Tasas!C12-Datos!BE12)/Datos!BE12," - ")</f>
        <v>-0.67011483344405431</v>
      </c>
      <c r="J12" s="352">
        <f>IF(ISNUMBER((Tasas!D12-Datos!BF12)/Datos!BF12),(Tasas!D12-Datos!BF12)/Datos!BF12," - ")</f>
        <v>-0.22195121951219512</v>
      </c>
      <c r="K12" s="354">
        <f>IF(ISNUMBER((Tasas!E12-Datos!BG12)/Datos!BG12),(Tasas!E12-Datos!BG12)/Datos!BG12," - ")</f>
        <v>-0.59386038687973086</v>
      </c>
      <c r="M12" t="e">
        <f>IF(Monitorios="SI",Datos!CE12,0)</f>
        <v>#REF!</v>
      </c>
      <c r="N12" t="e">
        <f>IF(Monitorios="SI",Datos!CF12,0)</f>
        <v>#REF!</v>
      </c>
      <c r="O12" t="e">
        <f>IF(Monitorios="SI",Datos!CG12,0)</f>
        <v>#REF!</v>
      </c>
      <c r="P12" t="e">
        <f>IF(Monitorios="SI",Datos!CH12,0)</f>
        <v>#REF!</v>
      </c>
      <c r="Q12">
        <f>IF(J_V="SI",0,Datos!AG12)</f>
        <v>6</v>
      </c>
      <c r="R12">
        <f>IF(J_V="SI",0,Datos!AH12)</f>
        <v>2</v>
      </c>
      <c r="S12">
        <f>IF(J_V="SI",0,Datos!AI12)</f>
        <v>2</v>
      </c>
      <c r="T12">
        <f>IF(J_V="SI",0,Datos!AJ12)</f>
        <v>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1.0714285714285714</v>
      </c>
      <c r="I13" s="360">
        <f>IF(ISNUMBER((Tasas!C13-Datos!BE13)/Datos!BE13),(Tasas!C13-Datos!BE13)/Datos!BE13," - ")</f>
        <v>-0.67011483344405431</v>
      </c>
      <c r="J13" s="358">
        <f>IF(ISNUMBER((Tasas!D13-Datos!BF13)/Datos!BF13),(Tasas!D13-Datos!BF13)/Datos!BF13," - ")</f>
        <v>-0.22195121951219512</v>
      </c>
      <c r="K13" s="361">
        <f>IF(ISNUMBER((Tasas!E13-Datos!BG13)/Datos!BG13),(Tasas!E13-Datos!BG13)/Datos!BG13," - ")</f>
        <v>-0.59386038687973086</v>
      </c>
      <c r="M13" t="e">
        <f>IF(Monitorios="SI",Datos!CE13,0)</f>
        <v>#REF!</v>
      </c>
      <c r="N13" t="e">
        <f>IF(Monitorios="SI",Datos!CF13,0)</f>
        <v>#REF!</v>
      </c>
      <c r="O13" t="e">
        <f>IF(Monitorios="SI",Datos!CG13,0)</f>
        <v>#REF!</v>
      </c>
      <c r="P13" t="e">
        <f>IF(Monitorios="SI",Datos!CH13,0)</f>
        <v>#REF!</v>
      </c>
      <c r="Q13">
        <f>IF(J_V="SI",0,Datos!AG13)</f>
        <v>6</v>
      </c>
      <c r="R13">
        <f>IF(J_V="SI",0,Datos!AH13)</f>
        <v>2</v>
      </c>
      <c r="S13">
        <f>IF(J_V="SI",0,Datos!AI13)</f>
        <v>2</v>
      </c>
      <c r="T13">
        <f>IF(J_V="SI",0,Datos!AJ13)</f>
        <v>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0.75</v>
      </c>
      <c r="E16" s="351">
        <f>IF(ISNUMBER(
   IF(D_I="SI",(Datos!J16-Datos!T16)/Datos!T16,(Datos!J16+Datos!AD16-(Datos!T16+Datos!AL16))/(Datos!T16+Datos!AL16))
     ),IF(D_I="SI",(Datos!J16-Datos!T16)/Datos!T16,(Datos!J16+Datos!AD16-(Datos!T16+Datos!AL16))/(Datos!T16+Datos!AL16))," - ")</f>
        <v>0.51485148514851486</v>
      </c>
      <c r="F16" s="351">
        <f>IF(ISNUMBER(
   IF(D_I="SI",(Datos!K16-Datos!U16)/Datos!U16,(Datos!K16+Datos!AE16-(Datos!U16+Datos!AM16))/(Datos!U16+Datos!AM16))
     ),IF(D_I="SI",(Datos!K16-Datos!U16)/Datos!U16,(Datos!K16+Datos!AE16-(Datos!U16+Datos!AM16))/(Datos!U16+Datos!AM16))," - ")</f>
        <v>0.87058823529411766</v>
      </c>
      <c r="G16" s="352">
        <f>IF(ISNUMBER(
   IF(D_I="SI",(Datos!L16-Datos!V16)/Datos!V16,(Datos!L16+Datos!AF16-(Datos!V16+Datos!AN16))/(Datos!V16+Datos!AN16))
     ),IF(D_I="SI",(Datos!L16-Datos!V16)/Datos!V16,(Datos!L16+Datos!AF16-(Datos!V16+Datos!AN16))/(Datos!V16+Datos!AN16))," - ")</f>
        <v>0.32500000000000001</v>
      </c>
      <c r="H16" s="233">
        <f>IF(ISNUMBER((Datos!M16-Datos!W16)/Datos!W16),(Datos!M16-Datos!W16)/Datos!W16," - ")</f>
        <v>-0.25</v>
      </c>
      <c r="I16" s="353">
        <f>IF(ISNUMBER((Tasas!C16-Datos!BE16)/Datos!BE16),(Tasas!C16-Datos!BE16)/Datos!BE16," - ")</f>
        <v>-0.29166666666666669</v>
      </c>
      <c r="J16" s="352">
        <f>IF(ISNUMBER((Tasas!D16-Datos!BF16)/Datos!BF16),(Tasas!D16-Datos!BF16)/Datos!BF16," - ")</f>
        <v>-0.59905660377358494</v>
      </c>
      <c r="K16" s="354">
        <f>IF(ISNUMBER((Tasas!E16-Datos!BG16)/Datos!BG16),(Tasas!E16-Datos!BG16)/Datos!BG16," - ")</f>
        <v>-0.14141414141414138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0.23809523809523808</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1</v>
      </c>
      <c r="G17" s="352">
        <f>IF(ISNUMBER(
   IF(D_I="SI",(Datos!L17-Datos!V17)/Datos!V17,(Datos!L17+Datos!AF17-(Datos!V17+Datos!AN17))/(Datos!V17+Datos!AN17))
     ),IF(D_I="SI",(Datos!L17-Datos!V17)/Datos!V17,(Datos!L17+Datos!AF17-(Datos!V17+Datos!AN17))/(Datos!V17+Datos!AN17))," - ")</f>
        <v>0.13043478260869565</v>
      </c>
      <c r="H17" s="233" t="str">
        <f>IF(ISNUMBER((Datos!M17-Datos!W17)/Datos!W17),(Datos!M17-Datos!W17)/Datos!W17," - ")</f>
        <v xml:space="preserve"> - </v>
      </c>
      <c r="I17" s="353">
        <f>IF(ISNUMBER((Tasas!C17-Datos!BE17)/Datos!BE17),(Tasas!C17-Datos!BE17)/Datos!BE17," - ")</f>
        <v>-0.43478260869565216</v>
      </c>
      <c r="J17" s="352" t="str">
        <f>IF(ISNUMBER((Tasas!D17-Datos!BF17)/Datos!BF17),(Tasas!D17-Datos!BF17)/Datos!BF17," - ")</f>
        <v xml:space="preserve"> - </v>
      </c>
      <c r="K17" s="354">
        <f>IF(ISNUMBER((Tasas!E17-Datos!BG17)/Datos!BG17),(Tasas!E17-Datos!BG17)/Datos!BG17," - ")</f>
        <v>-0.4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0.62352941176470589</v>
      </c>
      <c r="E18" s="357">
        <f>IF(ISNUMBER(
   IF(D_I="SI",(Datos!J18-Datos!T18)/Datos!T18,(Datos!J18+Datos!AD18-(Datos!T18+Datos!AL18))/(Datos!T18+Datos!AL18))
     ),IF(D_I="SI",(Datos!J18-Datos!T18)/Datos!T18,(Datos!J18+Datos!AD18-(Datos!T18+Datos!AL18))/(Datos!T18+Datos!AL18))," - ")</f>
        <v>0.49523809523809526</v>
      </c>
      <c r="F18" s="357">
        <f>IF(ISNUMBER(
   IF(D_I="SI",(Datos!K18-Datos!U18)/Datos!U18,(Datos!K18+Datos!AE18-(Datos!U18+Datos!AM18))/(Datos!U18+Datos!AM18))
     ),IF(D_I="SI",(Datos!K18-Datos!U18)/Datos!U18,(Datos!K18+Datos!AE18-(Datos!U18+Datos!AM18))/(Datos!U18+Datos!AM18))," - ")</f>
        <v>0.87356321839080464</v>
      </c>
      <c r="G18" s="358">
        <f>IF(ISNUMBER(
   IF(D_I="SI",(Datos!L18-Datos!V18)/Datos!V18,(Datos!L18+Datos!AF18-(Datos!V18+Datos!AN18))/(Datos!V18+Datos!AN18))
     ),IF(D_I="SI",(Datos!L18-Datos!V18)/Datos!V18,(Datos!L18+Datos!AF18-(Datos!V18+Datos!AN18))/(Datos!V18+Datos!AN18))," - ")</f>
        <v>0.28155339805825241</v>
      </c>
      <c r="H18" s="359">
        <f>IF(ISNUMBER((Datos!M18-Datos!W18)/Datos!W18),(Datos!M18-Datos!W18)/Datos!W18," - ")</f>
        <v>-0.25</v>
      </c>
      <c r="I18" s="360">
        <f>IF(ISNUMBER((Tasas!C18-Datos!BE18)/Datos!BE18),(Tasas!C18-Datos!BE18)/Datos!BE18," - ")</f>
        <v>-0.31598070164988984</v>
      </c>
      <c r="J18" s="358">
        <f>IF(ISNUMBER((Tasas!D18-Datos!BF18)/Datos!BF18),(Tasas!D18-Datos!BF18)/Datos!BF18," - ")</f>
        <v>-0.59969325153374231</v>
      </c>
      <c r="K18" s="361">
        <f>IF(ISNUMBER((Tasas!E18-Datos!BG18)/Datos!BG18),(Tasas!E18-Datos!BG18)/Datos!BG18," - ")</f>
        <v>-0.17129480142072984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0.532258064516129</v>
      </c>
      <c r="E19" s="366">
        <f>IF(ISNUMBER(
   IF(J_V="SI",(Datos!J19-Datos!T19)/Datos!T19,(Datos!J19+Datos!Z19-(Datos!T19+Datos!AH19))/(Datos!T19+Datos!AH19))
     ),IF(J_V="SI",(Datos!J19-Datos!T19)/Datos!T19,(Datos!J19+Datos!Z19-(Datos!T19+Datos!AH19))/(Datos!T19+Datos!AH19))," - ")</f>
        <v>0.52352941176470591</v>
      </c>
      <c r="F19" s="366">
        <f>IF(ISNUMBER(
   IF(J_V="SI",(Datos!K19-Datos!U19)/Datos!U19,(Datos!K19+Datos!AA19-(Datos!U19+Datos!AI19))/(Datos!U19+Datos!AI19))
     ),IF(J_V="SI",(Datos!K19-Datos!U19)/Datos!U19,(Datos!K19+Datos!AA19-(Datos!U19+Datos!AI19))/(Datos!U19+Datos!AI19))," - ")</f>
        <v>1.3833333333333333</v>
      </c>
      <c r="G19" s="367">
        <f>IF(ISNUMBER(
   IF(J_V="SI",(Datos!L19-Datos!V19)/Datos!V19,(Datos!L19+Datos!AB19-(Datos!V19+Datos!AJ19))/(Datos!V19+Datos!AJ19))
     ),IF(J_V="SI",(Datos!L19-Datos!V19)/Datos!V19,(Datos!L19+Datos!AB19-(Datos!V19+Datos!AJ19))/(Datos!V19+Datos!AJ19))," - ")</f>
        <v>0.24444444444444444</v>
      </c>
      <c r="H19" s="368">
        <f>IF(ISNUMBER((Datos!M19-Datos!W19)/Datos!W19),(Datos!M19-Datos!W19)/Datos!W19," - ")</f>
        <v>0.46153846153846156</v>
      </c>
      <c r="I19" s="365">
        <f>IF(ISNUMBER((Tasas!C19-Datos!BE19)/Datos!BE19),(Tasas!C19-Datos!BE19)/Datos!BE19," - ")</f>
        <v>-0.47785547785547783</v>
      </c>
      <c r="J19" s="366">
        <f>IF(ISNUMBER((Tasas!D19-Datos!BF19)/Datos!BF19),(Tasas!D19-Datos!BF19)/Datos!BF19," - ")</f>
        <v>-0.27527018436109341</v>
      </c>
      <c r="K19" s="367">
        <f>IF(ISNUMBER((Tasas!E19-Datos!BG19)/Datos!BG19),(Tasas!E19-Datos!BG19)/Datos!BG19," - ")</f>
        <v>-0.35839160839160844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0.26664608165807152</v>
      </c>
      <c r="E21" s="281">
        <f t="shared" si="1"/>
        <v>0.29175260861400665</v>
      </c>
      <c r="F21" s="281">
        <f t="shared" si="1"/>
        <v>7.3872091158081687E-2</v>
      </c>
      <c r="G21" s="282">
        <f t="shared" si="1"/>
        <v>0.10212742610272166</v>
      </c>
      <c r="H21" s="288">
        <f t="shared" si="1"/>
        <v>0.7629271414291483</v>
      </c>
      <c r="I21" s="280">
        <f t="shared" si="1"/>
        <v>0.18482664131089541</v>
      </c>
      <c r="J21" s="281">
        <f t="shared" si="1"/>
        <v>0.21790583450001338</v>
      </c>
      <c r="K21" s="282">
        <f t="shared" si="1"/>
        <v>0.21929065475561757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HAIVN7P1+HXbzzcvZ94VC+4EpEnHqxOvG5nqpsqfbX09sXWuz+KoZQcufJa8RwX4HpLVc310vuJZld6yGTzgg==" saltValue="jhH38P0SAJ/7hskRCaH9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